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4380" yWindow="-108" windowWidth="17700" windowHeight="9276"/>
  </bookViews>
  <sheets>
    <sheet name="раздел 1" sheetId="33" r:id="rId1"/>
    <sheet name="раздел 2" sheetId="20" r:id="rId2"/>
    <sheet name="раздел 3,4" sheetId="21" r:id="rId3"/>
    <sheet name="раздел 5" sheetId="22" r:id="rId4"/>
    <sheet name="раздел 6" sheetId="23" r:id="rId5"/>
  </sheets>
  <definedNames>
    <definedName name="_xlnm.Print_Titles" localSheetId="1">'раздел 2'!$2:$5</definedName>
    <definedName name="_xlnm.Print_Titles" localSheetId="3">'раздел 5'!$2:$5</definedName>
    <definedName name="_xlnm.Print_Area" localSheetId="2">'раздел 3,4'!$A$1:$G$60</definedName>
    <definedName name="_xlnm.Print_Area" localSheetId="3">'раздел 5'!$A$1:$U$26</definedName>
  </definedNames>
  <calcPr calcId="144525"/>
</workbook>
</file>

<file path=xl/calcChain.xml><?xml version="1.0" encoding="utf-8"?>
<calcChain xmlns="http://schemas.openxmlformats.org/spreadsheetml/2006/main">
  <c r="E35" i="21" l="1"/>
  <c r="F7" i="20" l="1"/>
  <c r="H7" i="20" s="1"/>
  <c r="F12" i="20"/>
  <c r="H12" i="20" s="1"/>
  <c r="F11" i="20"/>
  <c r="F18" i="20" s="1"/>
  <c r="F25" i="20" s="1"/>
  <c r="F10" i="20"/>
  <c r="H10" i="20"/>
  <c r="H17" i="20" s="1"/>
  <c r="H24" i="20" s="1"/>
  <c r="F9" i="20"/>
  <c r="H9" i="20" s="1"/>
  <c r="F8" i="20"/>
  <c r="H8" i="20"/>
  <c r="H15" i="20" s="1"/>
  <c r="H22" i="20" s="1"/>
  <c r="F15" i="20"/>
  <c r="F22" i="20"/>
  <c r="C16" i="20"/>
  <c r="C23" i="20" s="1"/>
  <c r="E16" i="20"/>
  <c r="E23" i="20"/>
  <c r="G16" i="20"/>
  <c r="G23" i="20" s="1"/>
  <c r="I16" i="20"/>
  <c r="I23" i="20"/>
  <c r="K16" i="20"/>
  <c r="K23" i="20" s="1"/>
  <c r="L16" i="20"/>
  <c r="L23" i="20"/>
  <c r="M16" i="20"/>
  <c r="M23" i="20" s="1"/>
  <c r="C17" i="20"/>
  <c r="C24" i="20"/>
  <c r="E17" i="20"/>
  <c r="E24" i="20" s="1"/>
  <c r="G17" i="20"/>
  <c r="G24" i="20"/>
  <c r="I17" i="20"/>
  <c r="I24" i="20" s="1"/>
  <c r="K17" i="20"/>
  <c r="K24" i="20"/>
  <c r="L17" i="20"/>
  <c r="L24" i="20" s="1"/>
  <c r="M17" i="20"/>
  <c r="M24" i="20"/>
  <c r="C18" i="20"/>
  <c r="C25" i="20" s="1"/>
  <c r="E18" i="20"/>
  <c r="E25" i="20"/>
  <c r="G18" i="20"/>
  <c r="G25" i="20" s="1"/>
  <c r="I18" i="20"/>
  <c r="I25" i="20"/>
  <c r="K18" i="20"/>
  <c r="K25" i="20" s="1"/>
  <c r="L18" i="20"/>
  <c r="L25" i="20"/>
  <c r="M18" i="20"/>
  <c r="M25" i="20" s="1"/>
  <c r="C19" i="20"/>
  <c r="C26" i="20"/>
  <c r="E19" i="20"/>
  <c r="E26" i="20" s="1"/>
  <c r="G19" i="20"/>
  <c r="G26" i="20"/>
  <c r="I19" i="20"/>
  <c r="I26" i="20" s="1"/>
  <c r="K19" i="20"/>
  <c r="K26" i="20"/>
  <c r="L19" i="20"/>
  <c r="L26" i="20" s="1"/>
  <c r="M19" i="20"/>
  <c r="M26" i="20"/>
  <c r="M15" i="20"/>
  <c r="M22" i="20" s="1"/>
  <c r="L15" i="20"/>
  <c r="L22" i="20"/>
  <c r="K15" i="20"/>
  <c r="K22" i="20" s="1"/>
  <c r="I15" i="20"/>
  <c r="I22" i="20"/>
  <c r="G15" i="20"/>
  <c r="G22" i="20" s="1"/>
  <c r="E15" i="20"/>
  <c r="E22" i="20"/>
  <c r="C15" i="20"/>
  <c r="C22" i="20" s="1"/>
  <c r="M14" i="20"/>
  <c r="M21" i="20"/>
  <c r="L14" i="20"/>
  <c r="L21" i="20"/>
  <c r="K14" i="20"/>
  <c r="K21" i="20"/>
  <c r="I14" i="20"/>
  <c r="I21" i="20"/>
  <c r="G14" i="20"/>
  <c r="G21" i="20"/>
  <c r="E14" i="20"/>
  <c r="E21" i="20"/>
  <c r="D14" i="20"/>
  <c r="D21" i="20"/>
  <c r="U26" i="22"/>
  <c r="U25" i="22"/>
  <c r="T26" i="22"/>
  <c r="T25" i="22"/>
  <c r="S26" i="22"/>
  <c r="S25" i="22"/>
  <c r="R26" i="22"/>
  <c r="R25" i="22"/>
  <c r="Q26" i="22"/>
  <c r="Q25" i="22"/>
  <c r="O26" i="22"/>
  <c r="P26" i="22"/>
  <c r="P25" i="22"/>
  <c r="N26" i="22"/>
  <c r="M26" i="22"/>
  <c r="L26" i="22"/>
  <c r="O25" i="22"/>
  <c r="N25" i="22"/>
  <c r="M25" i="22"/>
  <c r="L25" i="22"/>
  <c r="K26" i="22"/>
  <c r="K25" i="22"/>
  <c r="J26" i="22"/>
  <c r="J25" i="22"/>
  <c r="I26" i="22"/>
  <c r="I25" i="22"/>
  <c r="H26" i="22"/>
  <c r="H25" i="22"/>
  <c r="G26" i="22"/>
  <c r="G25" i="22"/>
  <c r="F25" i="22"/>
  <c r="E25" i="22"/>
  <c r="D25" i="22"/>
  <c r="D22" i="22"/>
  <c r="D21" i="22" s="1"/>
  <c r="D20" i="22"/>
  <c r="D19" i="22"/>
  <c r="F22" i="22"/>
  <c r="F21" i="22" s="1"/>
  <c r="E22" i="22"/>
  <c r="E21" i="22" s="1"/>
  <c r="U20" i="22"/>
  <c r="U19" i="22"/>
  <c r="T20" i="22"/>
  <c r="T19" i="22"/>
  <c r="S20" i="22"/>
  <c r="S19" i="22"/>
  <c r="R20" i="22"/>
  <c r="R19" i="22"/>
  <c r="Q20" i="22"/>
  <c r="Q19" i="22"/>
  <c r="P20" i="22"/>
  <c r="P19" i="22"/>
  <c r="O20" i="22"/>
  <c r="O19" i="22"/>
  <c r="N20" i="22"/>
  <c r="N19" i="22"/>
  <c r="M20" i="22"/>
  <c r="M19" i="22"/>
  <c r="L20" i="22"/>
  <c r="L19" i="22"/>
  <c r="K20" i="22"/>
  <c r="K19" i="22"/>
  <c r="J20" i="22"/>
  <c r="J19" i="22"/>
  <c r="I20" i="22"/>
  <c r="I19" i="22"/>
  <c r="H20" i="22"/>
  <c r="H19" i="22"/>
  <c r="G20" i="22"/>
  <c r="G19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G10" i="22"/>
  <c r="H10" i="22"/>
  <c r="F10" i="22"/>
  <c r="E10" i="22"/>
  <c r="D10" i="22"/>
  <c r="E5" i="22"/>
  <c r="F5" i="22" s="1"/>
  <c r="G5" i="22" s="1"/>
  <c r="H5" i="22" s="1"/>
  <c r="I5" i="22" s="1"/>
  <c r="J5" i="22" s="1"/>
  <c r="K5" i="22" s="1"/>
  <c r="L5" i="22" s="1"/>
  <c r="M5" i="22" s="1"/>
  <c r="N5" i="22" s="1"/>
  <c r="O5" i="22" s="1"/>
  <c r="P5" i="22" s="1"/>
  <c r="Q5" i="22" s="1"/>
  <c r="R5" i="22" s="1"/>
  <c r="S5" i="22" s="1"/>
  <c r="T5" i="22" s="1"/>
  <c r="U5" i="22" s="1"/>
  <c r="S7" i="22"/>
  <c r="T7" i="22"/>
  <c r="P7" i="22"/>
  <c r="Q7" i="22"/>
  <c r="M7" i="22"/>
  <c r="N7" i="22"/>
  <c r="K7" i="22"/>
  <c r="L7" i="22"/>
  <c r="G7" i="22"/>
  <c r="H7" i="22"/>
  <c r="D7" i="22"/>
  <c r="F7" i="22"/>
  <c r="U7" i="22"/>
  <c r="R7" i="22"/>
  <c r="O7" i="22"/>
  <c r="J7" i="22"/>
  <c r="I7" i="22"/>
  <c r="F8" i="23"/>
  <c r="H8" i="23" s="1"/>
  <c r="J8" i="23" s="1"/>
  <c r="F11" i="23"/>
  <c r="H11" i="23"/>
  <c r="J11" i="23" s="1"/>
  <c r="F10" i="23"/>
  <c r="H10" i="23" s="1"/>
  <c r="J10" i="23" s="1"/>
  <c r="F9" i="23"/>
  <c r="H9" i="23"/>
  <c r="J9" i="23" s="1"/>
  <c r="F7" i="23"/>
  <c r="H7" i="23" s="1"/>
  <c r="J7" i="23" s="1"/>
  <c r="F6" i="23"/>
  <c r="H6" i="23"/>
  <c r="J6" i="23" s="1"/>
  <c r="F14" i="20"/>
  <c r="F21" i="20" s="1"/>
  <c r="E7" i="22"/>
  <c r="F19" i="20"/>
  <c r="F26" i="20"/>
  <c r="F17" i="20"/>
  <c r="F24" i="20"/>
  <c r="F16" i="20"/>
  <c r="F23" i="20"/>
  <c r="H16" i="20" l="1"/>
  <c r="H23" i="20" s="1"/>
  <c r="J9" i="20"/>
  <c r="J16" i="20" s="1"/>
  <c r="J23" i="20" s="1"/>
  <c r="H19" i="20"/>
  <c r="H26" i="20" s="1"/>
  <c r="J12" i="20"/>
  <c r="J19" i="20" s="1"/>
  <c r="J26" i="20" s="1"/>
  <c r="H14" i="20"/>
  <c r="H21" i="20" s="1"/>
  <c r="J7" i="20"/>
  <c r="J14" i="20" s="1"/>
  <c r="J21" i="20" s="1"/>
  <c r="J8" i="20"/>
  <c r="J15" i="20" s="1"/>
  <c r="J22" i="20" s="1"/>
  <c r="J10" i="20"/>
  <c r="J17" i="20" s="1"/>
  <c r="J24" i="20" s="1"/>
  <c r="H11" i="20"/>
  <c r="H18" i="20" l="1"/>
  <c r="H25" i="20" s="1"/>
  <c r="J11" i="20"/>
  <c r="J18" i="20" s="1"/>
  <c r="J25" i="20" s="1"/>
</calcChain>
</file>

<file path=xl/sharedStrings.xml><?xml version="1.0" encoding="utf-8"?>
<sst xmlns="http://schemas.openxmlformats.org/spreadsheetml/2006/main" count="360" uniqueCount="140">
  <si>
    <t>Отпуск воды в сеть</t>
  </si>
  <si>
    <t>Показатели производственной деятельности (куб.м)</t>
  </si>
  <si>
    <t xml:space="preserve">Подъем воды </t>
  </si>
  <si>
    <t>Полезный отпуск воды в сеть</t>
  </si>
  <si>
    <t>в том числе:</t>
  </si>
  <si>
    <t>населению</t>
  </si>
  <si>
    <t>бюджетным организациям</t>
  </si>
  <si>
    <t>прочим потребителям</t>
  </si>
  <si>
    <t>Расход воды на собственное производство</t>
  </si>
  <si>
    <t xml:space="preserve">Расход воды на собствен-ные нужды </t>
  </si>
  <si>
    <t xml:space="preserve">Реализовано воды потребителям - всего: </t>
  </si>
  <si>
    <t>Срок реализации мероприятия, лет</t>
  </si>
  <si>
    <t>Наименование показателя</t>
  </si>
  <si>
    <t>тыс. руб.</t>
  </si>
  <si>
    <t>%</t>
  </si>
  <si>
    <t>Покупка воды</t>
  </si>
  <si>
    <t>Наименование участков</t>
  </si>
  <si>
    <t>Неучтенные расходы и потери воды</t>
  </si>
  <si>
    <t>Участок Анюйск</t>
  </si>
  <si>
    <t>№     п/п</t>
  </si>
  <si>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</si>
  <si>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</si>
  <si>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</si>
  <si>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</si>
  <si>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</si>
  <si>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</si>
  <si>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</si>
  <si>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</si>
  <si>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</si>
  <si>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</si>
  <si>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Участок Билибино</t>
  </si>
  <si>
    <t>Участок Илирней</t>
  </si>
  <si>
    <t>Участок Кепервеем</t>
  </si>
  <si>
    <t>Участок Омолон</t>
  </si>
  <si>
    <t>Участок Островное</t>
  </si>
  <si>
    <t>3.</t>
  </si>
  <si>
    <t>ПРОИЗВОДСТВЕННАЯ ПРОГРАММА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</si>
  <si>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</si>
  <si>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</si>
  <si>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</si>
  <si>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</si>
  <si>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</si>
  <si>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</si>
  <si>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</si>
  <si>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</si>
  <si>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Показатели качества воды</t>
  </si>
  <si>
    <t>Показатели эффективности использования ресурсов, в том числе уроветь потерь воды</t>
  </si>
  <si>
    <t>1.1</t>
  </si>
  <si>
    <t>1.2</t>
  </si>
  <si>
    <t>2.1</t>
  </si>
  <si>
    <t>3.1</t>
  </si>
  <si>
    <t>3.2</t>
  </si>
  <si>
    <t>ед./км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</si>
  <si>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</si>
  <si>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3.2. План мероприятий, направленных на улучшение качества питьевой воды*</t>
  </si>
  <si>
    <t>Показатели надежности и бесперебойности водоснабжения</t>
  </si>
  <si>
    <t>Показатель надежности и бесперебойности централизованной системы холодного водоснабжения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</si>
  <si>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</si>
  <si>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</si>
  <si>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>-</t>
  </si>
  <si>
    <t>3.1.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</si>
  <si>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</si>
  <si>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кВт.ч/     куб.м</t>
  </si>
  <si>
    <t xml:space="preserve">Наименование </t>
  </si>
  <si>
    <t>4.</t>
  </si>
  <si>
    <t>4.1.</t>
  </si>
  <si>
    <t>5.</t>
  </si>
  <si>
    <t>5.1.</t>
  </si>
  <si>
    <t>6.</t>
  </si>
  <si>
    <t>6.1.</t>
  </si>
  <si>
    <t>* План мероприятий, направленных на улучшение качества питьевой воды, организацией не представлен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</si>
  <si>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</si>
  <si>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* План мероприятий по энергосбережению и повышению энергетической эффективности организацией не представлен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</si>
  <si>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</si>
  <si>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  <charset val="204"/>
      </rPr>
      <t>м холодного водоснабжения</t>
    </r>
  </si>
  <si>
    <t>Раздел 5. Плановые показатели надежности, качества, энергетической эффективности объектов централизованных систем холодного водоснабжения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</si>
  <si>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результам производственного контроля качества питьевой воды</t>
  </si>
  <si>
    <t>2016 год</t>
  </si>
  <si>
    <t>2017 год</t>
  </si>
  <si>
    <t>2018 год</t>
  </si>
  <si>
    <t>Ремонт трубопроводов теплового сопровождения трубопроводов холодного  водоснабжения водоочистной № 1 диам. 76 мм.</t>
  </si>
  <si>
    <t>Ремонт трубопровода холодного  водоснабжения от МКД ул. Ленина д.18 до ТК- 529</t>
  </si>
  <si>
    <t>Окраска оборудования и трубопроводов ВОС-1</t>
  </si>
  <si>
    <t>Ремонт трубопроводов холодного водоснабжения от ТК-39 до ТК-43</t>
  </si>
  <si>
    <t>Ремонт трубопроводов холодного водоснабжения от ТК-79 до ТК-81</t>
  </si>
  <si>
    <t xml:space="preserve">Ремонт трубопроводов тепловодоснабжения от ТК-79 до ДЭС </t>
  </si>
  <si>
    <t>Ремонт водоемного здания</t>
  </si>
  <si>
    <t>3.2.</t>
  </si>
  <si>
    <t xml:space="preserve">Ремонт трубопроводов холодного водоснабжения от ТК-8 до ТК-22 </t>
  </si>
  <si>
    <t>Ремонт трубопроводов холодного водоснабжения от ТК-66 до ТП Администрации</t>
  </si>
  <si>
    <t>Ремонт трубопровода  от ТК-40 до МКД ул. Черепова д. 8-б</t>
  </si>
  <si>
    <t>Ремонт трубопроводов холодного водоснабжения от ТК-36 до ТК-37 МКД ул. Парковая, д. 8-а</t>
  </si>
  <si>
    <t>5.2.</t>
  </si>
  <si>
    <t>5.3.</t>
  </si>
  <si>
    <t>Ремонт трубопроводов холодного водоснабжения от ТК-50 до ТК-56 , ул. Тальвавтына</t>
  </si>
  <si>
    <t>Раздел 6. Отчет об исполнении производственной программы за истекший период регулирования (2014 год)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</si>
  <si>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</si>
  <si>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</si>
  <si>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ед.</t>
  </si>
  <si>
    <t>I</t>
  </si>
  <si>
    <t>2.2</t>
  </si>
  <si>
    <t>1</t>
  </si>
  <si>
    <t>2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</si>
  <si>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</si>
  <si>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II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</si>
  <si>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</si>
  <si>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</si>
  <si>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</si>
  <si>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III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</si>
  <si>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</si>
  <si>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</si>
  <si>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</si>
  <si>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</si>
  <si>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</si>
  <si>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</si>
  <si>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3</t>
  </si>
  <si>
    <t>тыс.куб.м</t>
  </si>
  <si>
    <t>Ремонт трубопроводов холодного водоснабжения</t>
  </si>
  <si>
    <t>2.4.</t>
  </si>
  <si>
    <t>3.3.</t>
  </si>
  <si>
    <t>3.4.</t>
  </si>
  <si>
    <t>4.2.</t>
  </si>
  <si>
    <t>4.3.</t>
  </si>
  <si>
    <t>5.4.</t>
  </si>
  <si>
    <t>5.5.</t>
  </si>
  <si>
    <t>6.2.</t>
  </si>
  <si>
    <t>6.3.</t>
  </si>
  <si>
    <t>Раздел 2. Планируемый объем в сфере холодного водоснабжения (питьевая вода (питьевое водоснабжение))</t>
  </si>
  <si>
    <t>Значение показателя</t>
  </si>
  <si>
    <t>тыс.кВт.ч</t>
  </si>
  <si>
    <t>Раздел 1.  Паспорт производственной программы</t>
  </si>
  <si>
    <t>МП ЖКХ Билибинского муниципального района</t>
  </si>
  <si>
    <t>Комитет государственного регулирования цен и тарифов Чукотского автономного округа</t>
  </si>
  <si>
    <t>689450, Чукотский автономный округ, г. Билибино, ул. Геологов д. 1а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</si>
  <si>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</si>
  <si>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</si>
  <si>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</si>
  <si>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Местонахождение уполномоченного органа</t>
  </si>
  <si>
    <t>689000, Чукотский автономный округ, г. Анадырь, ул. Отке, 4</t>
  </si>
  <si>
    <t>в сфере водоснабжения (питьевое водоснабжение) на 2016-2018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</si>
</sst>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0"/>
      <name val="Arial"/>
    </font>
    <font>
      <sz val="10"/>
      <name val="Times New Roman"/>
      <family val="1"/>
      <charset val="204"/>
    </font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5" fillId="0" borderId="0"/>
  </cellStyleXfs>
  <cellXfs count="19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0" fontId="3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10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0" fontId="3" fillId="0" borderId="0" xfId="1" applyFont="1" applyBorder="1" applyAlignment="1">
      <alignment horizontal="left" wrapText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9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11" fillId="0" borderId="4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24" xfId="2" applyFont="1" applyBorder="1" applyAlignment="1">
      <alignment horizontal="justify" vertical="top" wrapText="1"/>
    </xf>
    <xf numFmtId="0" fontId="7" fillId="0" borderId="2" xfId="2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vertical="center" wrapText="1"/>
    </xf>
    <xf numFmtId="0" fontId="5" fillId="0" borderId="25" xfId="0" applyFont="1" applyBorder="1"/>
    <xf numFmtId="1" fontId="7" fillId="0" borderId="1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65" fontId="7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justify" vertical="top" wrapText="1"/>
    </xf>
    <xf numFmtId="2" fontId="7" fillId="0" borderId="9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36" xfId="2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7" fillId="0" borderId="36" xfId="2" applyFont="1" applyBorder="1" applyAlignment="1">
      <alignment horizontal="justify" vertical="top" wrapText="1"/>
    </xf>
    <xf numFmtId="1" fontId="7" fillId="0" borderId="29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top" wrapText="1"/>
    </xf>
    <xf numFmtId="165" fontId="7" fillId="0" borderId="32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164" fontId="7" fillId="0" borderId="39" xfId="0" applyNumberFormat="1" applyFont="1" applyBorder="1" applyAlignment="1">
      <alignment horizontal="center" vertical="center" wrapText="1"/>
    </xf>
    <xf numFmtId="0" fontId="7" fillId="0" borderId="0" xfId="3" applyFont="1"/>
    <xf numFmtId="0" fontId="15" fillId="0" borderId="0" xfId="3" applyFont="1"/>
    <xf numFmtId="0" fontId="7" fillId="0" borderId="1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9" fillId="0" borderId="0" xfId="3" applyFont="1"/>
    <xf numFmtId="0" fontId="3" fillId="0" borderId="0" xfId="1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14" fillId="0" borderId="0" xfId="1" applyFont="1" applyAlignment="1">
      <alignment horizontal="center"/>
    </xf>
    <xf numFmtId="0" fontId="16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4" fillId="0" borderId="42" xfId="1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justify" vertical="center" wrapText="1"/>
    </xf>
    <xf numFmtId="0" fontId="9" fillId="0" borderId="0" xfId="0" applyNumberFormat="1" applyFont="1" applyBorder="1" applyAlignment="1">
      <alignment horizontal="left" vertical="center" wrapText="1"/>
    </xf>
    <xf numFmtId="164" fontId="3" fillId="0" borderId="47" xfId="1" applyNumberFormat="1" applyFont="1" applyBorder="1" applyAlignment="1">
      <alignment horizontal="center" vertical="center" wrapText="1"/>
    </xf>
    <xf numFmtId="164" fontId="3" fillId="0" borderId="48" xfId="1" applyNumberFormat="1" applyFont="1" applyBorder="1" applyAlignment="1">
      <alignment horizontal="center" vertical="center" wrapText="1"/>
    </xf>
    <xf numFmtId="164" fontId="3" fillId="0" borderId="49" xfId="1" applyNumberFormat="1" applyFont="1" applyBorder="1" applyAlignment="1">
      <alignment horizontal="center" vertical="center" wrapText="1"/>
    </xf>
    <xf numFmtId="164" fontId="3" fillId="0" borderId="47" xfId="1" applyNumberFormat="1" applyFont="1" applyFill="1" applyBorder="1" applyAlignment="1">
      <alignment horizontal="center" vertical="center" wrapText="1"/>
    </xf>
    <xf numFmtId="164" fontId="3" fillId="0" borderId="48" xfId="1" applyNumberFormat="1" applyFont="1" applyFill="1" applyBorder="1" applyAlignment="1">
      <alignment horizontal="center" vertical="center" wrapText="1"/>
    </xf>
    <xf numFmtId="164" fontId="3" fillId="0" borderId="49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3" borderId="47" xfId="1" applyNumberFormat="1" applyFont="1" applyFill="1" applyBorder="1" applyAlignment="1">
      <alignment horizontal="center" vertical="center" wrapText="1"/>
    </xf>
    <xf numFmtId="164" fontId="3" fillId="3" borderId="48" xfId="1" applyNumberFormat="1" applyFont="1" applyFill="1" applyBorder="1" applyAlignment="1">
      <alignment horizontal="center" vertical="center" wrapText="1"/>
    </xf>
    <xf numFmtId="164" fontId="3" fillId="3" borderId="49" xfId="1" applyNumberFormat="1" applyFont="1" applyFill="1" applyBorder="1" applyAlignment="1">
      <alignment horizontal="center" vertical="center" wrapText="1"/>
    </xf>
    <xf numFmtId="0" fontId="4" fillId="0" borderId="42" xfId="1" applyFont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47" xfId="1" applyFont="1" applyBorder="1" applyAlignment="1">
      <alignment horizontal="left" vertical="center" wrapText="1"/>
    </xf>
    <xf numFmtId="0" fontId="3" fillId="0" borderId="48" xfId="1" applyFont="1" applyBorder="1" applyAlignment="1">
      <alignment horizontal="left" vertical="center" wrapText="1"/>
    </xf>
    <xf numFmtId="0" fontId="3" fillId="0" borderId="49" xfId="1" applyFont="1" applyBorder="1" applyAlignment="1">
      <alignment horizontal="left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3" fillId="0" borderId="0" xfId="1" applyNumberFormat="1" applyFont="1" applyBorder="1"/>
  </cellXfs>
  <cellStyles count="4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B18" sqref="B18"/>
    </sheetView>
  </sheetViews>
  <sheetFormatPr defaultColWidth="9.109375" defaultRowHeight="15.6" x14ac:dyDescent="0.3"/>
  <cols>
    <col min="1" max="1" width="51.33203125" style="123" customWidth="1"/>
    <col min="2" max="2" width="61.88671875" style="123" customWidth="1"/>
    <col min="3" max="3" width="7" style="123" customWidth="1"/>
    <col min="4" max="4" width="6.6640625" style="123" customWidth="1"/>
    <col min="5" max="16384" width="9.109375" style="123"/>
  </cols>
  <sheetData>
    <row r="1" spans="1:2" s="124" customFormat="1" ht="18" x14ac:dyDescent="0.35">
      <c r="A1" s="133" t="s">
        <v>36</v>
      </c>
      <c r="B1" s="133"/>
    </row>
    <row r="2" spans="1:2" s="124" customFormat="1" ht="18" x14ac:dyDescent="0.35">
      <c r="A2" s="134" t="s">
        <v>139</v>
      </c>
      <c r="B2" s="134"/>
    </row>
    <row r="3" spans="1:2" s="124" customFormat="1" ht="19.5" customHeight="1" x14ac:dyDescent="0.35">
      <c r="A3" s="135"/>
      <c r="B3" s="136"/>
    </row>
    <row r="4" spans="1:2" s="124" customFormat="1" ht="18.75" customHeight="1" x14ac:dyDescent="0.35">
      <c r="A4" s="137" t="s">
        <v>130</v>
      </c>
      <c r="B4" s="137"/>
    </row>
    <row r="5" spans="1:2" ht="27" customHeight="1" x14ac:dyDescent="0.3">
      <c r="A5" s="125" t="s">
        <v>134</v>
      </c>
      <c r="B5" s="131" t="s">
        <v>131</v>
      </c>
    </row>
    <row r="6" spans="1:2" ht="36" customHeight="1" x14ac:dyDescent="0.3">
      <c r="A6" s="125" t="s">
        <v>135</v>
      </c>
      <c r="B6" s="44" t="s">
        <v>133</v>
      </c>
    </row>
    <row r="7" spans="1:2" ht="38.25" customHeight="1" x14ac:dyDescent="0.3">
      <c r="A7" s="125" t="s">
        <v>136</v>
      </c>
      <c r="B7" s="44" t="s">
        <v>132</v>
      </c>
    </row>
    <row r="8" spans="1:2" ht="27.75" customHeight="1" x14ac:dyDescent="0.3">
      <c r="A8" s="125" t="s">
        <v>137</v>
      </c>
      <c r="B8" s="131" t="s">
        <v>138</v>
      </c>
    </row>
    <row r="9" spans="1:2" s="128" customFormat="1" ht="21.75" customHeight="1" x14ac:dyDescent="0.3">
      <c r="A9" s="126"/>
      <c r="B9" s="127"/>
    </row>
    <row r="10" spans="1:2" ht="16.5" customHeight="1" x14ac:dyDescent="0.3"/>
    <row r="20" spans="1:3" x14ac:dyDescent="0.3">
      <c r="C20" s="129"/>
    </row>
    <row r="22" spans="1:3" x14ac:dyDescent="0.3">
      <c r="C22" s="130"/>
    </row>
    <row r="25" spans="1:3" s="128" customFormat="1" x14ac:dyDescent="0.3">
      <c r="A25" s="123"/>
      <c r="B25" s="123"/>
      <c r="C25" s="123"/>
    </row>
    <row r="26" spans="1:3" ht="15" customHeight="1" x14ac:dyDescent="0.3"/>
    <row r="27" spans="1:3" ht="31.5" customHeight="1" x14ac:dyDescent="0.3"/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B1" zoomScaleNormal="100" workbookViewId="0">
      <selection activeCell="G7" sqref="G7"/>
    </sheetView>
  </sheetViews>
  <sheetFormatPr defaultColWidth="9.109375" defaultRowHeight="15.6" x14ac:dyDescent="0.3"/>
  <cols>
    <col min="1" max="1" width="6" style="4" customWidth="1"/>
    <col min="2" max="2" width="24.5546875" style="4" customWidth="1"/>
    <col min="3" max="3" width="13.33203125" style="4" customWidth="1"/>
    <col min="4" max="4" width="13.44140625" style="4" customWidth="1"/>
    <col min="5" max="5" width="12.109375" style="4" customWidth="1"/>
    <col min="6" max="6" width="13" style="4" customWidth="1"/>
    <col min="7" max="7" width="13.6640625" style="4" customWidth="1"/>
    <col min="8" max="8" width="13.109375" style="4" customWidth="1"/>
    <col min="9" max="9" width="13.88671875" style="4" customWidth="1"/>
    <col min="10" max="10" width="13.44140625" style="4" customWidth="1"/>
    <col min="11" max="11" width="11.109375" style="4" customWidth="1"/>
    <col min="12" max="12" width="12.44140625" style="4" customWidth="1"/>
    <col min="13" max="13" width="12.88671875" style="4" customWidth="1"/>
    <col min="14" max="16384" width="9.109375" style="4"/>
  </cols>
  <sheetData>
    <row r="1" spans="1:13" x14ac:dyDescent="0.3">
      <c r="A1" s="8" t="s">
        <v>127</v>
      </c>
    </row>
    <row r="2" spans="1:13" ht="15.75" customHeight="1" x14ac:dyDescent="0.3">
      <c r="A2" s="144" t="s">
        <v>19</v>
      </c>
      <c r="B2" s="142" t="s">
        <v>63</v>
      </c>
      <c r="C2" s="148" t="s">
        <v>1</v>
      </c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3" x14ac:dyDescent="0.3">
      <c r="A3" s="145"/>
      <c r="B3" s="147"/>
      <c r="C3" s="141" t="s">
        <v>2</v>
      </c>
      <c r="D3" s="141" t="s">
        <v>15</v>
      </c>
      <c r="E3" s="141" t="s">
        <v>9</v>
      </c>
      <c r="F3" s="141" t="s">
        <v>0</v>
      </c>
      <c r="G3" s="141" t="s">
        <v>17</v>
      </c>
      <c r="H3" s="141" t="s">
        <v>3</v>
      </c>
      <c r="I3" s="142" t="s">
        <v>8</v>
      </c>
      <c r="J3" s="141" t="s">
        <v>10</v>
      </c>
      <c r="K3" s="141" t="s">
        <v>4</v>
      </c>
      <c r="L3" s="141"/>
      <c r="M3" s="141"/>
    </row>
    <row r="4" spans="1:13" ht="51" customHeight="1" x14ac:dyDescent="0.3">
      <c r="A4" s="146"/>
      <c r="B4" s="143"/>
      <c r="C4" s="141"/>
      <c r="D4" s="141"/>
      <c r="E4" s="141"/>
      <c r="F4" s="141"/>
      <c r="G4" s="141"/>
      <c r="H4" s="141"/>
      <c r="I4" s="143"/>
      <c r="J4" s="141"/>
      <c r="K4" s="1" t="s">
        <v>5</v>
      </c>
      <c r="L4" s="1" t="s">
        <v>6</v>
      </c>
      <c r="M4" s="1" t="s">
        <v>7</v>
      </c>
    </row>
    <row r="5" spans="1:13" x14ac:dyDescent="0.3">
      <c r="A5" s="7">
        <v>1</v>
      </c>
      <c r="B5" s="1">
        <v>2</v>
      </c>
      <c r="C5" s="7">
        <v>3</v>
      </c>
      <c r="D5" s="1">
        <v>4</v>
      </c>
      <c r="E5" s="7">
        <v>5</v>
      </c>
      <c r="F5" s="1">
        <v>6</v>
      </c>
      <c r="G5" s="7">
        <v>7</v>
      </c>
      <c r="H5" s="1">
        <v>8</v>
      </c>
      <c r="I5" s="7">
        <v>9</v>
      </c>
      <c r="J5" s="1">
        <v>10</v>
      </c>
      <c r="K5" s="7">
        <v>11</v>
      </c>
      <c r="L5" s="1">
        <v>12</v>
      </c>
      <c r="M5" s="7">
        <v>13</v>
      </c>
    </row>
    <row r="6" spans="1:13" x14ac:dyDescent="0.3">
      <c r="A6" s="52"/>
      <c r="B6" s="138" t="s">
        <v>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1:13" ht="17.25" customHeight="1" x14ac:dyDescent="0.3">
      <c r="A7" s="5" t="s">
        <v>20</v>
      </c>
      <c r="B7" s="2" t="s">
        <v>30</v>
      </c>
      <c r="C7" s="31"/>
      <c r="D7" s="32">
        <v>1275420</v>
      </c>
      <c r="E7" s="32">
        <v>42465</v>
      </c>
      <c r="F7" s="32">
        <f>D7-E7</f>
        <v>1232955</v>
      </c>
      <c r="G7" s="51">
        <v>159786</v>
      </c>
      <c r="H7" s="51">
        <f t="shared" ref="H7:H12" si="0">F7-G7</f>
        <v>1073169</v>
      </c>
      <c r="I7" s="32">
        <v>481551.1</v>
      </c>
      <c r="J7" s="32">
        <f t="shared" ref="J7:J12" si="1">H7-I7</f>
        <v>591617.9</v>
      </c>
      <c r="K7" s="32">
        <v>363483</v>
      </c>
      <c r="L7" s="32">
        <v>27861</v>
      </c>
      <c r="M7" s="29">
        <v>200273.9</v>
      </c>
    </row>
    <row r="8" spans="1:13" ht="17.25" customHeight="1" x14ac:dyDescent="0.3">
      <c r="A8" s="5" t="s">
        <v>26</v>
      </c>
      <c r="B8" s="2" t="s">
        <v>18</v>
      </c>
      <c r="C8" s="31">
        <v>41718.300000000003</v>
      </c>
      <c r="D8" s="34"/>
      <c r="E8" s="34">
        <v>345.9</v>
      </c>
      <c r="F8" s="32">
        <f>C8-E8</f>
        <v>41372.400000000001</v>
      </c>
      <c r="G8" s="34">
        <v>1059.9000000000001</v>
      </c>
      <c r="H8" s="32">
        <f t="shared" si="0"/>
        <v>40312.5</v>
      </c>
      <c r="I8" s="34">
        <v>3925.5</v>
      </c>
      <c r="J8" s="32">
        <f t="shared" si="1"/>
        <v>36387</v>
      </c>
      <c r="K8" s="34">
        <v>33685.197</v>
      </c>
      <c r="L8" s="34">
        <v>2363.8000000000002</v>
      </c>
      <c r="M8" s="30">
        <v>338</v>
      </c>
    </row>
    <row r="9" spans="1:13" ht="17.25" customHeight="1" x14ac:dyDescent="0.3">
      <c r="A9" s="5" t="s">
        <v>35</v>
      </c>
      <c r="B9" s="2" t="s">
        <v>31</v>
      </c>
      <c r="C9" s="31">
        <v>19868.3</v>
      </c>
      <c r="D9" s="34"/>
      <c r="E9" s="34">
        <v>209.7</v>
      </c>
      <c r="F9" s="32">
        <f>C9-E9</f>
        <v>19658.599999999999</v>
      </c>
      <c r="G9" s="34">
        <v>177.9</v>
      </c>
      <c r="H9" s="32">
        <f t="shared" si="0"/>
        <v>19480.699999999997</v>
      </c>
      <c r="I9" s="34">
        <v>7956.64</v>
      </c>
      <c r="J9" s="32">
        <f t="shared" si="1"/>
        <v>11524.059999999998</v>
      </c>
      <c r="K9" s="34">
        <v>10499.8</v>
      </c>
      <c r="L9" s="34">
        <v>925.5</v>
      </c>
      <c r="M9" s="30">
        <v>98.8</v>
      </c>
    </row>
    <row r="10" spans="1:13" ht="17.25" customHeight="1" x14ac:dyDescent="0.3">
      <c r="A10" s="5" t="s">
        <v>64</v>
      </c>
      <c r="B10" s="2" t="s">
        <v>32</v>
      </c>
      <c r="C10" s="31">
        <v>34652.300000000003</v>
      </c>
      <c r="D10" s="34"/>
      <c r="E10" s="34">
        <v>337.5</v>
      </c>
      <c r="F10" s="32">
        <f>C10-E10</f>
        <v>34314.800000000003</v>
      </c>
      <c r="G10" s="34">
        <v>646.29999999999995</v>
      </c>
      <c r="H10" s="51">
        <f t="shared" si="0"/>
        <v>33668.5</v>
      </c>
      <c r="I10" s="34">
        <v>10719.9</v>
      </c>
      <c r="J10" s="32">
        <f t="shared" si="1"/>
        <v>22948.6</v>
      </c>
      <c r="K10" s="34">
        <v>19786</v>
      </c>
      <c r="L10" s="34">
        <v>2396.6999999999998</v>
      </c>
      <c r="M10" s="30">
        <v>765.9</v>
      </c>
    </row>
    <row r="11" spans="1:13" ht="17.25" customHeight="1" x14ac:dyDescent="0.3">
      <c r="A11" s="5" t="s">
        <v>66</v>
      </c>
      <c r="B11" s="2" t="s">
        <v>33</v>
      </c>
      <c r="C11" s="31">
        <v>31495.1</v>
      </c>
      <c r="D11" s="34"/>
      <c r="E11" s="34">
        <v>323.3</v>
      </c>
      <c r="F11" s="32">
        <f>C11-E11</f>
        <v>31171.8</v>
      </c>
      <c r="G11" s="34">
        <v>492.4</v>
      </c>
      <c r="H11" s="32">
        <f t="shared" si="0"/>
        <v>30679.399999999998</v>
      </c>
      <c r="I11" s="34">
        <v>11670</v>
      </c>
      <c r="J11" s="32">
        <f t="shared" si="1"/>
        <v>19009.399999999998</v>
      </c>
      <c r="K11" s="34">
        <v>15187.1</v>
      </c>
      <c r="L11" s="34">
        <v>3437.3</v>
      </c>
      <c r="M11" s="30">
        <v>385</v>
      </c>
    </row>
    <row r="12" spans="1:13" ht="17.25" customHeight="1" x14ac:dyDescent="0.3">
      <c r="A12" s="5" t="s">
        <v>68</v>
      </c>
      <c r="B12" s="2" t="s">
        <v>34</v>
      </c>
      <c r="C12" s="31">
        <v>27644.9</v>
      </c>
      <c r="D12" s="34"/>
      <c r="E12" s="34">
        <v>230.4</v>
      </c>
      <c r="F12" s="32">
        <f>C12-E12</f>
        <v>27414.5</v>
      </c>
      <c r="G12" s="34">
        <v>609.1</v>
      </c>
      <c r="H12" s="32">
        <f t="shared" si="0"/>
        <v>26805.4</v>
      </c>
      <c r="I12" s="34">
        <v>1987.6</v>
      </c>
      <c r="J12" s="32">
        <f t="shared" si="1"/>
        <v>24817.800000000003</v>
      </c>
      <c r="K12" s="34">
        <v>23314.799999999999</v>
      </c>
      <c r="L12" s="34">
        <v>1192.3</v>
      </c>
      <c r="M12" s="30">
        <v>310.7</v>
      </c>
    </row>
    <row r="13" spans="1:13" x14ac:dyDescent="0.3">
      <c r="A13" s="52"/>
      <c r="B13" s="138" t="s">
        <v>78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40"/>
    </row>
    <row r="14" spans="1:13" x14ac:dyDescent="0.3">
      <c r="A14" s="5" t="s">
        <v>20</v>
      </c>
      <c r="B14" s="2" t="s">
        <v>30</v>
      </c>
      <c r="C14" s="31"/>
      <c r="D14" s="32">
        <f t="shared" ref="D14:M14" si="2">D7</f>
        <v>1275420</v>
      </c>
      <c r="E14" s="32">
        <f t="shared" si="2"/>
        <v>42465</v>
      </c>
      <c r="F14" s="32">
        <f t="shared" si="2"/>
        <v>1232955</v>
      </c>
      <c r="G14" s="51">
        <f t="shared" si="2"/>
        <v>159786</v>
      </c>
      <c r="H14" s="51">
        <f t="shared" si="2"/>
        <v>1073169</v>
      </c>
      <c r="I14" s="32">
        <f t="shared" si="2"/>
        <v>481551.1</v>
      </c>
      <c r="J14" s="32">
        <f t="shared" si="2"/>
        <v>591617.9</v>
      </c>
      <c r="K14" s="32">
        <f t="shared" si="2"/>
        <v>363483</v>
      </c>
      <c r="L14" s="32">
        <f t="shared" si="2"/>
        <v>27861</v>
      </c>
      <c r="M14" s="29">
        <f t="shared" si="2"/>
        <v>200273.9</v>
      </c>
    </row>
    <row r="15" spans="1:13" x14ac:dyDescent="0.3">
      <c r="A15" s="5" t="s">
        <v>26</v>
      </c>
      <c r="B15" s="2" t="s">
        <v>18</v>
      </c>
      <c r="C15" s="31">
        <f>C8</f>
        <v>41718.300000000003</v>
      </c>
      <c r="D15" s="34"/>
      <c r="E15" s="34">
        <f t="shared" ref="E15:M15" si="3">E8</f>
        <v>345.9</v>
      </c>
      <c r="F15" s="32">
        <f t="shared" si="3"/>
        <v>41372.400000000001</v>
      </c>
      <c r="G15" s="34">
        <f t="shared" si="3"/>
        <v>1059.9000000000001</v>
      </c>
      <c r="H15" s="32">
        <f t="shared" si="3"/>
        <v>40312.5</v>
      </c>
      <c r="I15" s="34">
        <f t="shared" si="3"/>
        <v>3925.5</v>
      </c>
      <c r="J15" s="32">
        <f t="shared" si="3"/>
        <v>36387</v>
      </c>
      <c r="K15" s="34">
        <f t="shared" si="3"/>
        <v>33685.197</v>
      </c>
      <c r="L15" s="34">
        <f t="shared" si="3"/>
        <v>2363.8000000000002</v>
      </c>
      <c r="M15" s="30">
        <f t="shared" si="3"/>
        <v>338</v>
      </c>
    </row>
    <row r="16" spans="1:13" x14ac:dyDescent="0.3">
      <c r="A16" s="5" t="s">
        <v>35</v>
      </c>
      <c r="B16" s="2" t="s">
        <v>31</v>
      </c>
      <c r="C16" s="31">
        <f>C9</f>
        <v>19868.3</v>
      </c>
      <c r="D16" s="34"/>
      <c r="E16" s="34">
        <f t="shared" ref="E16:M16" si="4">E9</f>
        <v>209.7</v>
      </c>
      <c r="F16" s="32">
        <f t="shared" si="4"/>
        <v>19658.599999999999</v>
      </c>
      <c r="G16" s="34">
        <f t="shared" si="4"/>
        <v>177.9</v>
      </c>
      <c r="H16" s="32">
        <f t="shared" si="4"/>
        <v>19480.699999999997</v>
      </c>
      <c r="I16" s="34">
        <f t="shared" si="4"/>
        <v>7956.64</v>
      </c>
      <c r="J16" s="32">
        <f t="shared" si="4"/>
        <v>11524.059999999998</v>
      </c>
      <c r="K16" s="34">
        <f t="shared" si="4"/>
        <v>10499.8</v>
      </c>
      <c r="L16" s="34">
        <f t="shared" si="4"/>
        <v>925.5</v>
      </c>
      <c r="M16" s="30">
        <f t="shared" si="4"/>
        <v>98.8</v>
      </c>
    </row>
    <row r="17" spans="1:13" x14ac:dyDescent="0.3">
      <c r="A17" s="5" t="s">
        <v>64</v>
      </c>
      <c r="B17" s="2" t="s">
        <v>32</v>
      </c>
      <c r="C17" s="31">
        <f>C10</f>
        <v>34652.300000000003</v>
      </c>
      <c r="D17" s="34"/>
      <c r="E17" s="34">
        <f t="shared" ref="E17:M17" si="5">E10</f>
        <v>337.5</v>
      </c>
      <c r="F17" s="32">
        <f t="shared" si="5"/>
        <v>34314.800000000003</v>
      </c>
      <c r="G17" s="34">
        <f t="shared" si="5"/>
        <v>646.29999999999995</v>
      </c>
      <c r="H17" s="32">
        <f t="shared" si="5"/>
        <v>33668.5</v>
      </c>
      <c r="I17" s="34">
        <f t="shared" si="5"/>
        <v>10719.9</v>
      </c>
      <c r="J17" s="32">
        <f t="shared" si="5"/>
        <v>22948.6</v>
      </c>
      <c r="K17" s="34">
        <f t="shared" si="5"/>
        <v>19786</v>
      </c>
      <c r="L17" s="34">
        <f t="shared" si="5"/>
        <v>2396.6999999999998</v>
      </c>
      <c r="M17" s="30">
        <f t="shared" si="5"/>
        <v>765.9</v>
      </c>
    </row>
    <row r="18" spans="1:13" x14ac:dyDescent="0.3">
      <c r="A18" s="5" t="s">
        <v>66</v>
      </c>
      <c r="B18" s="2" t="s">
        <v>33</v>
      </c>
      <c r="C18" s="31">
        <f>C11</f>
        <v>31495.1</v>
      </c>
      <c r="D18" s="34"/>
      <c r="E18" s="34">
        <f t="shared" ref="E18:M18" si="6">E11</f>
        <v>323.3</v>
      </c>
      <c r="F18" s="32">
        <f t="shared" si="6"/>
        <v>31171.8</v>
      </c>
      <c r="G18" s="34">
        <f t="shared" si="6"/>
        <v>492.4</v>
      </c>
      <c r="H18" s="32">
        <f t="shared" si="6"/>
        <v>30679.399999999998</v>
      </c>
      <c r="I18" s="34">
        <f t="shared" si="6"/>
        <v>11670</v>
      </c>
      <c r="J18" s="32">
        <f t="shared" si="6"/>
        <v>19009.399999999998</v>
      </c>
      <c r="K18" s="34">
        <f t="shared" si="6"/>
        <v>15187.1</v>
      </c>
      <c r="L18" s="34">
        <f t="shared" si="6"/>
        <v>3437.3</v>
      </c>
      <c r="M18" s="30">
        <f t="shared" si="6"/>
        <v>385</v>
      </c>
    </row>
    <row r="19" spans="1:13" x14ac:dyDescent="0.3">
      <c r="A19" s="5" t="s">
        <v>68</v>
      </c>
      <c r="B19" s="2" t="s">
        <v>34</v>
      </c>
      <c r="C19" s="31">
        <f>C12</f>
        <v>27644.9</v>
      </c>
      <c r="D19" s="34"/>
      <c r="E19" s="34">
        <f t="shared" ref="E19:M19" si="7">E12</f>
        <v>230.4</v>
      </c>
      <c r="F19" s="32">
        <f t="shared" si="7"/>
        <v>27414.5</v>
      </c>
      <c r="G19" s="34">
        <f t="shared" si="7"/>
        <v>609.1</v>
      </c>
      <c r="H19" s="32">
        <f t="shared" si="7"/>
        <v>26805.4</v>
      </c>
      <c r="I19" s="34">
        <f t="shared" si="7"/>
        <v>1987.6</v>
      </c>
      <c r="J19" s="32">
        <f t="shared" si="7"/>
        <v>24817.800000000003</v>
      </c>
      <c r="K19" s="34">
        <f t="shared" si="7"/>
        <v>23314.799999999999</v>
      </c>
      <c r="L19" s="34">
        <f t="shared" si="7"/>
        <v>1192.3</v>
      </c>
      <c r="M19" s="30">
        <f t="shared" si="7"/>
        <v>310.7</v>
      </c>
    </row>
    <row r="20" spans="1:13" x14ac:dyDescent="0.3">
      <c r="A20" s="52"/>
      <c r="B20" s="138" t="s">
        <v>79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40"/>
    </row>
    <row r="21" spans="1:13" x14ac:dyDescent="0.3">
      <c r="A21" s="5" t="s">
        <v>20</v>
      </c>
      <c r="B21" s="2" t="s">
        <v>30</v>
      </c>
      <c r="C21" s="31"/>
      <c r="D21" s="32">
        <f t="shared" ref="D21:M21" si="8">D14</f>
        <v>1275420</v>
      </c>
      <c r="E21" s="32">
        <f t="shared" si="8"/>
        <v>42465</v>
      </c>
      <c r="F21" s="32">
        <f t="shared" si="8"/>
        <v>1232955</v>
      </c>
      <c r="G21" s="51">
        <f t="shared" si="8"/>
        <v>159786</v>
      </c>
      <c r="H21" s="51">
        <f t="shared" si="8"/>
        <v>1073169</v>
      </c>
      <c r="I21" s="32">
        <f t="shared" si="8"/>
        <v>481551.1</v>
      </c>
      <c r="J21" s="32">
        <f t="shared" si="8"/>
        <v>591617.9</v>
      </c>
      <c r="K21" s="32">
        <f t="shared" si="8"/>
        <v>363483</v>
      </c>
      <c r="L21" s="32">
        <f t="shared" si="8"/>
        <v>27861</v>
      </c>
      <c r="M21" s="29">
        <f t="shared" si="8"/>
        <v>200273.9</v>
      </c>
    </row>
    <row r="22" spans="1:13" x14ac:dyDescent="0.3">
      <c r="A22" s="5" t="s">
        <v>26</v>
      </c>
      <c r="B22" s="2" t="s">
        <v>18</v>
      </c>
      <c r="C22" s="31">
        <f>C15</f>
        <v>41718.300000000003</v>
      </c>
      <c r="D22" s="34"/>
      <c r="E22" s="34">
        <f t="shared" ref="E22:M22" si="9">E15</f>
        <v>345.9</v>
      </c>
      <c r="F22" s="32">
        <f t="shared" si="9"/>
        <v>41372.400000000001</v>
      </c>
      <c r="G22" s="34">
        <f t="shared" si="9"/>
        <v>1059.9000000000001</v>
      </c>
      <c r="H22" s="32">
        <f t="shared" si="9"/>
        <v>40312.5</v>
      </c>
      <c r="I22" s="34">
        <f t="shared" si="9"/>
        <v>3925.5</v>
      </c>
      <c r="J22" s="32">
        <f t="shared" si="9"/>
        <v>36387</v>
      </c>
      <c r="K22" s="34">
        <f t="shared" si="9"/>
        <v>33685.197</v>
      </c>
      <c r="L22" s="34">
        <f t="shared" si="9"/>
        <v>2363.8000000000002</v>
      </c>
      <c r="M22" s="30">
        <f t="shared" si="9"/>
        <v>338</v>
      </c>
    </row>
    <row r="23" spans="1:13" x14ac:dyDescent="0.3">
      <c r="A23" s="5" t="s">
        <v>35</v>
      </c>
      <c r="B23" s="2" t="s">
        <v>31</v>
      </c>
      <c r="C23" s="31">
        <f>C16</f>
        <v>19868.3</v>
      </c>
      <c r="D23" s="34"/>
      <c r="E23" s="34">
        <f t="shared" ref="E23:M23" si="10">E16</f>
        <v>209.7</v>
      </c>
      <c r="F23" s="32">
        <f t="shared" si="10"/>
        <v>19658.599999999999</v>
      </c>
      <c r="G23" s="34">
        <f t="shared" si="10"/>
        <v>177.9</v>
      </c>
      <c r="H23" s="32">
        <f t="shared" si="10"/>
        <v>19480.699999999997</v>
      </c>
      <c r="I23" s="34">
        <f t="shared" si="10"/>
        <v>7956.64</v>
      </c>
      <c r="J23" s="32">
        <f t="shared" si="10"/>
        <v>11524.059999999998</v>
      </c>
      <c r="K23" s="34">
        <f t="shared" si="10"/>
        <v>10499.8</v>
      </c>
      <c r="L23" s="34">
        <f t="shared" si="10"/>
        <v>925.5</v>
      </c>
      <c r="M23" s="30">
        <f t="shared" si="10"/>
        <v>98.8</v>
      </c>
    </row>
    <row r="24" spans="1:13" x14ac:dyDescent="0.3">
      <c r="A24" s="5" t="s">
        <v>64</v>
      </c>
      <c r="B24" s="2" t="s">
        <v>32</v>
      </c>
      <c r="C24" s="31">
        <f>C17</f>
        <v>34652.300000000003</v>
      </c>
      <c r="D24" s="34"/>
      <c r="E24" s="34">
        <f t="shared" ref="E24:M24" si="11">E17</f>
        <v>337.5</v>
      </c>
      <c r="F24" s="32">
        <f t="shared" si="11"/>
        <v>34314.800000000003</v>
      </c>
      <c r="G24" s="34">
        <f t="shared" si="11"/>
        <v>646.29999999999995</v>
      </c>
      <c r="H24" s="32">
        <f t="shared" si="11"/>
        <v>33668.5</v>
      </c>
      <c r="I24" s="34">
        <f t="shared" si="11"/>
        <v>10719.9</v>
      </c>
      <c r="J24" s="32">
        <f t="shared" si="11"/>
        <v>22948.6</v>
      </c>
      <c r="K24" s="34">
        <f t="shared" si="11"/>
        <v>19786</v>
      </c>
      <c r="L24" s="34">
        <f t="shared" si="11"/>
        <v>2396.6999999999998</v>
      </c>
      <c r="M24" s="30">
        <f t="shared" si="11"/>
        <v>765.9</v>
      </c>
    </row>
    <row r="25" spans="1:13" ht="15.75" customHeight="1" x14ac:dyDescent="0.3">
      <c r="A25" s="5" t="s">
        <v>66</v>
      </c>
      <c r="B25" s="2" t="s">
        <v>33</v>
      </c>
      <c r="C25" s="31">
        <f>C18</f>
        <v>31495.1</v>
      </c>
      <c r="D25" s="34"/>
      <c r="E25" s="34">
        <f t="shared" ref="E25:M25" si="12">E18</f>
        <v>323.3</v>
      </c>
      <c r="F25" s="32">
        <f t="shared" si="12"/>
        <v>31171.8</v>
      </c>
      <c r="G25" s="34">
        <f t="shared" si="12"/>
        <v>492.4</v>
      </c>
      <c r="H25" s="32">
        <f t="shared" si="12"/>
        <v>30679.399999999998</v>
      </c>
      <c r="I25" s="34">
        <f t="shared" si="12"/>
        <v>11670</v>
      </c>
      <c r="J25" s="32">
        <f t="shared" si="12"/>
        <v>19009.399999999998</v>
      </c>
      <c r="K25" s="34">
        <f t="shared" si="12"/>
        <v>15187.1</v>
      </c>
      <c r="L25" s="34">
        <f t="shared" si="12"/>
        <v>3437.3</v>
      </c>
      <c r="M25" s="30">
        <f t="shared" si="12"/>
        <v>385</v>
      </c>
    </row>
    <row r="26" spans="1:13" ht="15.75" customHeight="1" x14ac:dyDescent="0.3">
      <c r="A26" s="6" t="s">
        <v>68</v>
      </c>
      <c r="B26" s="3" t="s">
        <v>34</v>
      </c>
      <c r="C26" s="99">
        <f>C19</f>
        <v>27644.9</v>
      </c>
      <c r="D26" s="100"/>
      <c r="E26" s="100">
        <f t="shared" ref="E26:M26" si="13">E19</f>
        <v>230.4</v>
      </c>
      <c r="F26" s="33">
        <f t="shared" si="13"/>
        <v>27414.5</v>
      </c>
      <c r="G26" s="100">
        <f t="shared" si="13"/>
        <v>609.1</v>
      </c>
      <c r="H26" s="33">
        <f t="shared" si="13"/>
        <v>26805.4</v>
      </c>
      <c r="I26" s="100">
        <f t="shared" si="13"/>
        <v>1987.6</v>
      </c>
      <c r="J26" s="33">
        <f t="shared" si="13"/>
        <v>24817.800000000003</v>
      </c>
      <c r="K26" s="100">
        <f t="shared" si="13"/>
        <v>23314.799999999999</v>
      </c>
      <c r="L26" s="100">
        <f t="shared" si="13"/>
        <v>1192.3</v>
      </c>
      <c r="M26" s="101">
        <f t="shared" si="13"/>
        <v>310.7</v>
      </c>
    </row>
  </sheetData>
  <mergeCells count="15">
    <mergeCell ref="A2:A4"/>
    <mergeCell ref="B2:B4"/>
    <mergeCell ref="C2:M2"/>
    <mergeCell ref="C3:C4"/>
    <mergeCell ref="D3:D4"/>
    <mergeCell ref="E3:E4"/>
    <mergeCell ref="F3:F4"/>
    <mergeCell ref="G3:G4"/>
    <mergeCell ref="K3:M3"/>
    <mergeCell ref="B20:M20"/>
    <mergeCell ref="B6:M6"/>
    <mergeCell ref="B13:M13"/>
    <mergeCell ref="H3:H4"/>
    <mergeCell ref="I3:I4"/>
    <mergeCell ref="J3:J4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B37" zoomScaleNormal="100" zoomScaleSheetLayoutView="100" workbookViewId="0">
      <selection activeCell="C58" sqref="C58"/>
    </sheetView>
  </sheetViews>
  <sheetFormatPr defaultColWidth="9.109375" defaultRowHeight="15.6" x14ac:dyDescent="0.3"/>
  <cols>
    <col min="1" max="1" width="3.6640625" style="9" hidden="1" customWidth="1"/>
    <col min="2" max="2" width="6" style="9" customWidth="1"/>
    <col min="3" max="3" width="47" style="9" customWidth="1"/>
    <col min="4" max="4" width="16.5546875" style="9" customWidth="1"/>
    <col min="5" max="7" width="12.6640625" style="9" customWidth="1"/>
    <col min="8" max="8" width="9.109375" style="9"/>
    <col min="9" max="9" width="9.5546875" style="9" bestFit="1" customWidth="1"/>
    <col min="10" max="16384" width="9.109375" style="9"/>
  </cols>
  <sheetData>
    <row r="1" spans="2:12" ht="67.5" customHeight="1" x14ac:dyDescent="0.3">
      <c r="B1" s="161" t="s">
        <v>73</v>
      </c>
      <c r="C1" s="161"/>
      <c r="D1" s="161"/>
      <c r="E1" s="161"/>
      <c r="F1" s="161"/>
      <c r="G1" s="161"/>
      <c r="H1" s="10"/>
    </row>
    <row r="2" spans="2:12" ht="22.5" customHeight="1" x14ac:dyDescent="0.3">
      <c r="B2" s="162" t="s">
        <v>74</v>
      </c>
      <c r="C2" s="162"/>
      <c r="D2" s="162"/>
      <c r="E2" s="162"/>
      <c r="F2" s="162"/>
      <c r="G2" s="162"/>
    </row>
    <row r="3" spans="2:12" ht="63.75" customHeight="1" x14ac:dyDescent="0.3">
      <c r="B3" s="11" t="s">
        <v>37</v>
      </c>
      <c r="C3" s="11" t="s">
        <v>38</v>
      </c>
      <c r="D3" s="11" t="s">
        <v>11</v>
      </c>
      <c r="E3" s="158" t="s">
        <v>39</v>
      </c>
      <c r="F3" s="158"/>
      <c r="G3" s="158"/>
    </row>
    <row r="4" spans="2:12" x14ac:dyDescent="0.3">
      <c r="B4" s="11">
        <v>1</v>
      </c>
      <c r="C4" s="11">
        <v>2</v>
      </c>
      <c r="D4" s="11">
        <v>3</v>
      </c>
      <c r="E4" s="158">
        <v>4</v>
      </c>
      <c r="F4" s="158"/>
      <c r="G4" s="158"/>
    </row>
    <row r="5" spans="2:12" x14ac:dyDescent="0.3">
      <c r="B5" s="11" t="s">
        <v>20</v>
      </c>
      <c r="C5" s="132" t="s">
        <v>30</v>
      </c>
      <c r="D5" s="11"/>
      <c r="E5" s="169"/>
      <c r="F5" s="158"/>
      <c r="G5" s="158"/>
    </row>
    <row r="6" spans="2:12" ht="62.4" x14ac:dyDescent="0.3">
      <c r="B6" s="11" t="s">
        <v>21</v>
      </c>
      <c r="C6" s="53" t="s">
        <v>80</v>
      </c>
      <c r="D6" s="11" t="s">
        <v>77</v>
      </c>
      <c r="E6" s="163">
        <v>682</v>
      </c>
      <c r="F6" s="164"/>
      <c r="G6" s="165"/>
      <c r="I6" s="105"/>
      <c r="L6" s="105"/>
    </row>
    <row r="7" spans="2:12" ht="46.8" x14ac:dyDescent="0.3">
      <c r="B7" s="11" t="s">
        <v>22</v>
      </c>
      <c r="C7" s="53" t="s">
        <v>81</v>
      </c>
      <c r="D7" s="11" t="s">
        <v>77</v>
      </c>
      <c r="E7" s="163">
        <v>409</v>
      </c>
      <c r="F7" s="164"/>
      <c r="G7" s="165"/>
    </row>
    <row r="8" spans="2:12" x14ac:dyDescent="0.3">
      <c r="B8" s="11" t="s">
        <v>23</v>
      </c>
      <c r="C8" s="53" t="s">
        <v>82</v>
      </c>
      <c r="D8" s="11" t="s">
        <v>77</v>
      </c>
      <c r="E8" s="163">
        <v>164</v>
      </c>
      <c r="F8" s="164"/>
      <c r="G8" s="165"/>
    </row>
    <row r="9" spans="2:12" ht="31.2" x14ac:dyDescent="0.3">
      <c r="B9" s="11" t="s">
        <v>24</v>
      </c>
      <c r="C9" s="53" t="s">
        <v>117</v>
      </c>
      <c r="D9" s="11" t="s">
        <v>78</v>
      </c>
      <c r="E9" s="163">
        <v>1310.7847499999998</v>
      </c>
      <c r="F9" s="164"/>
      <c r="G9" s="165"/>
    </row>
    <row r="10" spans="2:12" ht="31.2" x14ac:dyDescent="0.3">
      <c r="B10" s="11" t="s">
        <v>25</v>
      </c>
      <c r="C10" s="53" t="s">
        <v>117</v>
      </c>
      <c r="D10" s="11" t="s">
        <v>79</v>
      </c>
      <c r="E10" s="163">
        <v>1349.5839785999999</v>
      </c>
      <c r="F10" s="164"/>
      <c r="G10" s="165"/>
    </row>
    <row r="11" spans="2:12" x14ac:dyDescent="0.3">
      <c r="B11" s="11" t="s">
        <v>26</v>
      </c>
      <c r="C11" s="132" t="s">
        <v>18</v>
      </c>
      <c r="D11" s="11"/>
      <c r="E11" s="163"/>
      <c r="F11" s="164"/>
      <c r="G11" s="165"/>
    </row>
    <row r="12" spans="2:12" ht="31.2" x14ac:dyDescent="0.3">
      <c r="B12" s="11" t="s">
        <v>27</v>
      </c>
      <c r="C12" s="53" t="s">
        <v>83</v>
      </c>
      <c r="D12" s="11" t="s">
        <v>77</v>
      </c>
      <c r="E12" s="166">
        <v>2946</v>
      </c>
      <c r="F12" s="167"/>
      <c r="G12" s="168"/>
      <c r="I12" s="105"/>
    </row>
    <row r="13" spans="2:12" ht="31.2" x14ac:dyDescent="0.3">
      <c r="B13" s="11" t="s">
        <v>28</v>
      </c>
      <c r="C13" s="53" t="s">
        <v>84</v>
      </c>
      <c r="D13" s="11" t="s">
        <v>77</v>
      </c>
      <c r="E13" s="166">
        <v>1577</v>
      </c>
      <c r="F13" s="167"/>
      <c r="G13" s="168"/>
    </row>
    <row r="14" spans="2:12" ht="31.2" x14ac:dyDescent="0.3">
      <c r="B14" s="11" t="s">
        <v>29</v>
      </c>
      <c r="C14" s="53" t="s">
        <v>117</v>
      </c>
      <c r="D14" s="11" t="s">
        <v>78</v>
      </c>
      <c r="E14" s="163">
        <v>4724.0473499999998</v>
      </c>
      <c r="F14" s="164"/>
      <c r="G14" s="165"/>
    </row>
    <row r="15" spans="2:12" ht="31.2" x14ac:dyDescent="0.3">
      <c r="B15" s="11" t="s">
        <v>118</v>
      </c>
      <c r="C15" s="53" t="s">
        <v>117</v>
      </c>
      <c r="D15" s="11" t="s">
        <v>79</v>
      </c>
      <c r="E15" s="163">
        <v>4863.8791515600005</v>
      </c>
      <c r="F15" s="164"/>
      <c r="G15" s="165"/>
    </row>
    <row r="16" spans="2:12" x14ac:dyDescent="0.3">
      <c r="B16" s="11" t="s">
        <v>35</v>
      </c>
      <c r="C16" s="132" t="s">
        <v>31</v>
      </c>
      <c r="D16" s="11"/>
      <c r="E16" s="163"/>
      <c r="F16" s="164"/>
      <c r="G16" s="165"/>
    </row>
    <row r="17" spans="2:7" ht="31.2" x14ac:dyDescent="0.3">
      <c r="B17" s="11" t="s">
        <v>60</v>
      </c>
      <c r="C17" s="53" t="s">
        <v>85</v>
      </c>
      <c r="D17" s="11" t="s">
        <v>77</v>
      </c>
      <c r="E17" s="163">
        <v>556</v>
      </c>
      <c r="F17" s="164"/>
      <c r="G17" s="165"/>
    </row>
    <row r="18" spans="2:7" x14ac:dyDescent="0.3">
      <c r="B18" s="11" t="s">
        <v>87</v>
      </c>
      <c r="C18" s="53" t="s">
        <v>86</v>
      </c>
      <c r="D18" s="11" t="s">
        <v>77</v>
      </c>
      <c r="E18" s="163">
        <v>346</v>
      </c>
      <c r="F18" s="164"/>
      <c r="G18" s="165"/>
    </row>
    <row r="19" spans="2:7" ht="31.2" x14ac:dyDescent="0.3">
      <c r="B19" s="11" t="s">
        <v>119</v>
      </c>
      <c r="C19" s="53" t="s">
        <v>117</v>
      </c>
      <c r="D19" s="11" t="s">
        <v>78</v>
      </c>
      <c r="E19" s="163">
        <v>942.09389999999985</v>
      </c>
      <c r="F19" s="164"/>
      <c r="G19" s="165"/>
    </row>
    <row r="20" spans="2:7" ht="31.2" x14ac:dyDescent="0.3">
      <c r="B20" s="11" t="s">
        <v>120</v>
      </c>
      <c r="C20" s="53" t="s">
        <v>117</v>
      </c>
      <c r="D20" s="11" t="s">
        <v>79</v>
      </c>
      <c r="E20" s="163">
        <v>969.97987943999988</v>
      </c>
      <c r="F20" s="164"/>
      <c r="G20" s="165"/>
    </row>
    <row r="21" spans="2:7" x14ac:dyDescent="0.3">
      <c r="B21" s="11" t="s">
        <v>64</v>
      </c>
      <c r="C21" s="132" t="s">
        <v>32</v>
      </c>
      <c r="D21" s="11"/>
      <c r="E21" s="163"/>
      <c r="F21" s="164"/>
      <c r="G21" s="165"/>
    </row>
    <row r="22" spans="2:7" ht="31.2" x14ac:dyDescent="0.3">
      <c r="B22" s="11" t="s">
        <v>65</v>
      </c>
      <c r="C22" s="53" t="s">
        <v>88</v>
      </c>
      <c r="D22" s="11" t="s">
        <v>77</v>
      </c>
      <c r="E22" s="163">
        <v>877.5</v>
      </c>
      <c r="F22" s="164"/>
      <c r="G22" s="165"/>
    </row>
    <row r="23" spans="2:7" ht="31.2" x14ac:dyDescent="0.3">
      <c r="B23" s="11" t="s">
        <v>121</v>
      </c>
      <c r="C23" s="53" t="s">
        <v>117</v>
      </c>
      <c r="D23" s="11" t="s">
        <v>78</v>
      </c>
      <c r="E23" s="163">
        <v>916.50487499999986</v>
      </c>
      <c r="F23" s="164"/>
      <c r="G23" s="165"/>
    </row>
    <row r="24" spans="2:7" ht="31.2" x14ac:dyDescent="0.3">
      <c r="B24" s="11" t="s">
        <v>122</v>
      </c>
      <c r="C24" s="53" t="s">
        <v>117</v>
      </c>
      <c r="D24" s="11" t="s">
        <v>79</v>
      </c>
      <c r="E24" s="163">
        <v>943.6334192999999</v>
      </c>
      <c r="F24" s="164"/>
      <c r="G24" s="165"/>
    </row>
    <row r="25" spans="2:7" x14ac:dyDescent="0.3">
      <c r="B25" s="11" t="s">
        <v>66</v>
      </c>
      <c r="C25" s="132" t="s">
        <v>33</v>
      </c>
      <c r="D25" s="11"/>
      <c r="E25" s="163"/>
      <c r="F25" s="164"/>
      <c r="G25" s="165"/>
    </row>
    <row r="26" spans="2:7" ht="46.8" x14ac:dyDescent="0.3">
      <c r="B26" s="11" t="s">
        <v>67</v>
      </c>
      <c r="C26" s="53" t="s">
        <v>89</v>
      </c>
      <c r="D26" s="11" t="s">
        <v>77</v>
      </c>
      <c r="E26" s="163">
        <v>340.5</v>
      </c>
      <c r="F26" s="164"/>
      <c r="G26" s="165"/>
    </row>
    <row r="27" spans="2:7" ht="31.2" x14ac:dyDescent="0.3">
      <c r="B27" s="11" t="s">
        <v>92</v>
      </c>
      <c r="C27" s="53" t="s">
        <v>90</v>
      </c>
      <c r="D27" s="11" t="s">
        <v>77</v>
      </c>
      <c r="E27" s="163">
        <v>259</v>
      </c>
      <c r="F27" s="164"/>
      <c r="G27" s="165"/>
    </row>
    <row r="28" spans="2:7" ht="45.75" customHeight="1" x14ac:dyDescent="0.3">
      <c r="B28" s="11" t="s">
        <v>93</v>
      </c>
      <c r="C28" s="53" t="s">
        <v>91</v>
      </c>
      <c r="D28" s="11" t="s">
        <v>77</v>
      </c>
      <c r="E28" s="170">
        <v>136</v>
      </c>
      <c r="F28" s="171"/>
      <c r="G28" s="172"/>
    </row>
    <row r="29" spans="2:7" ht="31.2" x14ac:dyDescent="0.3">
      <c r="B29" s="11" t="s">
        <v>123</v>
      </c>
      <c r="C29" s="53" t="s">
        <v>117</v>
      </c>
      <c r="D29" s="11" t="s">
        <v>78</v>
      </c>
      <c r="E29" s="170">
        <v>768.19297499999993</v>
      </c>
      <c r="F29" s="171"/>
      <c r="G29" s="172"/>
    </row>
    <row r="30" spans="2:7" ht="31.2" x14ac:dyDescent="0.3">
      <c r="B30" s="11" t="s">
        <v>124</v>
      </c>
      <c r="C30" s="53" t="s">
        <v>117</v>
      </c>
      <c r="D30" s="11" t="s">
        <v>79</v>
      </c>
      <c r="E30" s="170">
        <v>790.93148705999999</v>
      </c>
      <c r="F30" s="171"/>
      <c r="G30" s="172"/>
    </row>
    <row r="31" spans="2:7" ht="15.75" customHeight="1" x14ac:dyDescent="0.3">
      <c r="B31" s="11" t="s">
        <v>68</v>
      </c>
      <c r="C31" s="132" t="s">
        <v>34</v>
      </c>
      <c r="D31" s="11"/>
      <c r="E31" s="163"/>
      <c r="F31" s="164"/>
      <c r="G31" s="165"/>
    </row>
    <row r="32" spans="2:7" ht="46.8" x14ac:dyDescent="0.3">
      <c r="B32" s="11" t="s">
        <v>69</v>
      </c>
      <c r="C32" s="53" t="s">
        <v>94</v>
      </c>
      <c r="D32" s="11" t="s">
        <v>77</v>
      </c>
      <c r="E32" s="163">
        <v>1143</v>
      </c>
      <c r="F32" s="164"/>
      <c r="G32" s="165"/>
    </row>
    <row r="33" spans="2:7" ht="31.2" x14ac:dyDescent="0.3">
      <c r="B33" s="11" t="s">
        <v>125</v>
      </c>
      <c r="C33" s="53" t="s">
        <v>117</v>
      </c>
      <c r="D33" s="11" t="s">
        <v>78</v>
      </c>
      <c r="E33" s="170">
        <v>1193.8063499999998</v>
      </c>
      <c r="F33" s="171"/>
      <c r="G33" s="172"/>
    </row>
    <row r="34" spans="2:7" ht="31.2" x14ac:dyDescent="0.3">
      <c r="B34" s="11" t="s">
        <v>126</v>
      </c>
      <c r="C34" s="53" t="s">
        <v>117</v>
      </c>
      <c r="D34" s="11" t="s">
        <v>79</v>
      </c>
      <c r="E34" s="170">
        <v>1229.14301796</v>
      </c>
      <c r="F34" s="171"/>
      <c r="G34" s="172"/>
    </row>
    <row r="35" spans="2:7" ht="15.75" customHeight="1" x14ac:dyDescent="0.3">
      <c r="B35" s="175" t="s">
        <v>40</v>
      </c>
      <c r="C35" s="176"/>
      <c r="D35" s="177"/>
      <c r="E35" s="174">
        <f>E6+E7+E8+E9+E10+E12+E13+E14+E15+E17+E18+E19+E20+E22+E23+E24+E26+E27+E28+E29+E30+E32+E33+E34</f>
        <v>29438.581133920001</v>
      </c>
      <c r="F35" s="174"/>
      <c r="G35" s="174"/>
    </row>
    <row r="36" spans="2:7" ht="15" customHeight="1" x14ac:dyDescent="0.3">
      <c r="B36" s="12"/>
      <c r="C36" s="13"/>
      <c r="D36" s="190"/>
      <c r="E36" s="14"/>
      <c r="F36" s="105"/>
    </row>
    <row r="37" spans="2:7" ht="16.5" customHeight="1" x14ac:dyDescent="0.3">
      <c r="B37" s="173" t="s">
        <v>54</v>
      </c>
      <c r="C37" s="173"/>
      <c r="D37" s="173"/>
      <c r="E37" s="173"/>
      <c r="F37" s="173"/>
      <c r="G37" s="173"/>
    </row>
    <row r="38" spans="2:7" ht="62.4" x14ac:dyDescent="0.3">
      <c r="B38" s="11" t="s">
        <v>37</v>
      </c>
      <c r="C38" s="11" t="s">
        <v>38</v>
      </c>
      <c r="D38" s="11" t="s">
        <v>11</v>
      </c>
      <c r="E38" s="158" t="s">
        <v>39</v>
      </c>
      <c r="F38" s="158"/>
      <c r="G38" s="158"/>
    </row>
    <row r="39" spans="2:7" x14ac:dyDescent="0.3">
      <c r="B39" s="11">
        <v>1</v>
      </c>
      <c r="C39" s="11">
        <v>2</v>
      </c>
      <c r="D39" s="11">
        <v>3</v>
      </c>
      <c r="E39" s="158">
        <v>4</v>
      </c>
      <c r="F39" s="158"/>
      <c r="G39" s="158"/>
    </row>
    <row r="40" spans="2:7" x14ac:dyDescent="0.3">
      <c r="B40" s="15" t="s">
        <v>20</v>
      </c>
      <c r="C40" s="16"/>
      <c r="D40" s="15"/>
      <c r="E40" s="158"/>
      <c r="F40" s="158"/>
      <c r="G40" s="158"/>
    </row>
    <row r="41" spans="2:7" x14ac:dyDescent="0.3">
      <c r="B41" s="159" t="s">
        <v>40</v>
      </c>
      <c r="C41" s="159"/>
      <c r="D41" s="159"/>
      <c r="E41" s="159"/>
      <c r="F41" s="159"/>
      <c r="G41" s="159"/>
    </row>
    <row r="42" spans="2:7" x14ac:dyDescent="0.3">
      <c r="B42" s="157" t="s">
        <v>70</v>
      </c>
      <c r="C42" s="157"/>
      <c r="D42" s="157"/>
      <c r="E42" s="157"/>
      <c r="F42" s="157"/>
      <c r="G42" s="157"/>
    </row>
    <row r="43" spans="2:7" x14ac:dyDescent="0.3">
      <c r="B43" s="17"/>
      <c r="C43" s="17"/>
      <c r="D43" s="17"/>
      <c r="E43" s="17"/>
    </row>
    <row r="44" spans="2:7" ht="31.5" customHeight="1" x14ac:dyDescent="0.3">
      <c r="B44" s="160" t="s">
        <v>61</v>
      </c>
      <c r="C44" s="160"/>
      <c r="D44" s="160"/>
      <c r="E44" s="160"/>
      <c r="F44" s="160"/>
      <c r="G44" s="160"/>
    </row>
    <row r="45" spans="2:7" ht="62.4" x14ac:dyDescent="0.3">
      <c r="B45" s="11" t="s">
        <v>37</v>
      </c>
      <c r="C45" s="11" t="s">
        <v>38</v>
      </c>
      <c r="D45" s="11" t="s">
        <v>11</v>
      </c>
      <c r="E45" s="158" t="s">
        <v>39</v>
      </c>
      <c r="F45" s="158"/>
      <c r="G45" s="158"/>
    </row>
    <row r="46" spans="2:7" x14ac:dyDescent="0.3">
      <c r="B46" s="11">
        <v>1</v>
      </c>
      <c r="C46" s="11">
        <v>2</v>
      </c>
      <c r="D46" s="11">
        <v>3</v>
      </c>
      <c r="E46" s="158">
        <v>4</v>
      </c>
      <c r="F46" s="158"/>
      <c r="G46" s="158"/>
    </row>
    <row r="47" spans="2:7" x14ac:dyDescent="0.3">
      <c r="B47" s="15" t="s">
        <v>20</v>
      </c>
      <c r="C47" s="16"/>
      <c r="D47" s="15"/>
      <c r="E47" s="158"/>
      <c r="F47" s="158"/>
      <c r="G47" s="158"/>
    </row>
    <row r="48" spans="2:7" x14ac:dyDescent="0.3">
      <c r="B48" s="159" t="s">
        <v>40</v>
      </c>
      <c r="C48" s="159"/>
      <c r="D48" s="159"/>
      <c r="E48" s="159"/>
      <c r="F48" s="159"/>
      <c r="G48" s="159"/>
    </row>
    <row r="49" spans="2:7" ht="30" customHeight="1" x14ac:dyDescent="0.3">
      <c r="B49" s="157" t="s">
        <v>72</v>
      </c>
      <c r="C49" s="157"/>
      <c r="D49" s="157"/>
      <c r="E49" s="157"/>
      <c r="F49" s="157"/>
      <c r="G49" s="157"/>
    </row>
    <row r="51" spans="2:7" ht="29.25" customHeight="1" x14ac:dyDescent="0.3">
      <c r="B51" s="151" t="s">
        <v>42</v>
      </c>
      <c r="C51" s="151"/>
      <c r="D51" s="151"/>
      <c r="E51" s="151"/>
      <c r="F51" s="151"/>
      <c r="G51" s="151"/>
    </row>
    <row r="52" spans="2:7" x14ac:dyDescent="0.3">
      <c r="B52" s="152" t="s">
        <v>41</v>
      </c>
      <c r="C52" s="152" t="s">
        <v>12</v>
      </c>
      <c r="D52" s="152" t="s">
        <v>43</v>
      </c>
      <c r="E52" s="154" t="s">
        <v>44</v>
      </c>
      <c r="F52" s="155"/>
      <c r="G52" s="156"/>
    </row>
    <row r="53" spans="2:7" x14ac:dyDescent="0.3">
      <c r="B53" s="153"/>
      <c r="C53" s="153"/>
      <c r="D53" s="153"/>
      <c r="E53" s="11" t="s">
        <v>77</v>
      </c>
      <c r="F53" s="11" t="s">
        <v>78</v>
      </c>
      <c r="G53" s="11" t="s">
        <v>79</v>
      </c>
    </row>
    <row r="54" spans="2:7" x14ac:dyDescent="0.3">
      <c r="B54" s="11">
        <v>1</v>
      </c>
      <c r="C54" s="11">
        <v>2</v>
      </c>
      <c r="D54" s="11">
        <v>3</v>
      </c>
      <c r="E54" s="11">
        <v>4</v>
      </c>
      <c r="F54" s="11">
        <v>5</v>
      </c>
      <c r="G54" s="11">
        <v>6</v>
      </c>
    </row>
    <row r="55" spans="2:7" x14ac:dyDescent="0.3">
      <c r="B55" s="5" t="s">
        <v>20</v>
      </c>
      <c r="C55" s="2" t="s">
        <v>30</v>
      </c>
      <c r="D55" s="38" t="s">
        <v>13</v>
      </c>
      <c r="E55" s="41">
        <v>37045.890037767305</v>
      </c>
      <c r="F55" s="41">
        <v>41285.930310688258</v>
      </c>
      <c r="G55" s="41">
        <v>25992.217628678351</v>
      </c>
    </row>
    <row r="56" spans="2:7" x14ac:dyDescent="0.3">
      <c r="B56" s="5" t="s">
        <v>26</v>
      </c>
      <c r="C56" s="2" t="s">
        <v>18</v>
      </c>
      <c r="D56" s="38" t="s">
        <v>13</v>
      </c>
      <c r="E56" s="41">
        <v>14368.16758668255</v>
      </c>
      <c r="F56" s="41">
        <v>15746.42440166943</v>
      </c>
      <c r="G56" s="41">
        <v>16536.552043897904</v>
      </c>
    </row>
    <row r="57" spans="2:7" x14ac:dyDescent="0.3">
      <c r="B57" s="5" t="s">
        <v>35</v>
      </c>
      <c r="C57" s="2" t="s">
        <v>31</v>
      </c>
      <c r="D57" s="38" t="s">
        <v>13</v>
      </c>
      <c r="E57" s="41">
        <v>5692.232748681221</v>
      </c>
      <c r="F57" s="41">
        <v>6502.8276004463532</v>
      </c>
      <c r="G57" s="41">
        <v>7433.9183730294253</v>
      </c>
    </row>
    <row r="58" spans="2:7" x14ac:dyDescent="0.3">
      <c r="B58" s="5" t="s">
        <v>64</v>
      </c>
      <c r="C58" s="2" t="s">
        <v>32</v>
      </c>
      <c r="D58" s="38" t="s">
        <v>13</v>
      </c>
      <c r="E58" s="41">
        <v>5516.4704539564718</v>
      </c>
      <c r="F58" s="41">
        <v>6083.8790551587163</v>
      </c>
      <c r="G58" s="41">
        <v>6736.0121544510448</v>
      </c>
    </row>
    <row r="59" spans="2:7" x14ac:dyDescent="0.3">
      <c r="B59" s="5" t="s">
        <v>66</v>
      </c>
      <c r="C59" s="2" t="s">
        <v>33</v>
      </c>
      <c r="D59" s="38" t="s">
        <v>13</v>
      </c>
      <c r="E59" s="41">
        <v>7793.2918977169675</v>
      </c>
      <c r="F59" s="41">
        <v>8947.123553798081</v>
      </c>
      <c r="G59" s="41">
        <v>10273.157273752349</v>
      </c>
    </row>
    <row r="60" spans="2:7" x14ac:dyDescent="0.3">
      <c r="B60" s="6" t="s">
        <v>68</v>
      </c>
      <c r="C60" s="3" t="s">
        <v>34</v>
      </c>
      <c r="D60" s="106" t="s">
        <v>13</v>
      </c>
      <c r="E60" s="107">
        <v>8054.687797997979</v>
      </c>
      <c r="F60" s="107">
        <v>9058.5715345529188</v>
      </c>
      <c r="G60" s="107">
        <v>9891.8578292098173</v>
      </c>
    </row>
  </sheetData>
  <mergeCells count="53">
    <mergeCell ref="E28:G28"/>
    <mergeCell ref="E29:G29"/>
    <mergeCell ref="E30:G30"/>
    <mergeCell ref="B37:G37"/>
    <mergeCell ref="E35:G35"/>
    <mergeCell ref="B35:D35"/>
    <mergeCell ref="E31:G31"/>
    <mergeCell ref="E32:G32"/>
    <mergeCell ref="E33:G33"/>
    <mergeCell ref="E34:G34"/>
    <mergeCell ref="E24:G24"/>
    <mergeCell ref="E25:G25"/>
    <mergeCell ref="E26:G26"/>
    <mergeCell ref="E27:G27"/>
    <mergeCell ref="E20:G20"/>
    <mergeCell ref="E21:G21"/>
    <mergeCell ref="E22:G22"/>
    <mergeCell ref="E23:G23"/>
    <mergeCell ref="E19:G19"/>
    <mergeCell ref="E5:G5"/>
    <mergeCell ref="E6:G6"/>
    <mergeCell ref="E7:G7"/>
    <mergeCell ref="E8:G8"/>
    <mergeCell ref="B1:G1"/>
    <mergeCell ref="B2:G2"/>
    <mergeCell ref="E3:G3"/>
    <mergeCell ref="E4:G4"/>
    <mergeCell ref="B48:G48"/>
    <mergeCell ref="E38:G3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B49:G49"/>
    <mergeCell ref="E39:G39"/>
    <mergeCell ref="E40:G40"/>
    <mergeCell ref="B41:G41"/>
    <mergeCell ref="B42:G42"/>
    <mergeCell ref="B44:G44"/>
    <mergeCell ref="E45:G45"/>
    <mergeCell ref="E46:G46"/>
    <mergeCell ref="E47:G47"/>
    <mergeCell ref="B51:G51"/>
    <mergeCell ref="B52:B53"/>
    <mergeCell ref="C52:C53"/>
    <mergeCell ref="D52:D53"/>
    <mergeCell ref="E52:G52"/>
  </mergeCells>
  <phoneticPr fontId="2" type="noConversion"/>
  <printOptions horizontalCentered="1"/>
  <pageMargins left="0.98425196850393704" right="0.39370078740157483" top="0.39370078740157483" bottom="0.39370078740157483" header="0.51181102362204722" footer="0.51181102362204722"/>
  <pageSetup paperSize="9" scale="8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zoomScale="95" zoomScaleNormal="95" zoomScaleSheetLayoutView="100" workbookViewId="0">
      <pane xSplit="3" ySplit="4" topLeftCell="D23" activePane="bottomRight" state="frozen"/>
      <selection pane="topRight" activeCell="D1" sqref="D1"/>
      <selection pane="bottomLeft" activeCell="A5" sqref="A5"/>
      <selection pane="bottomRight" activeCell="H10" sqref="H10"/>
    </sheetView>
  </sheetViews>
  <sheetFormatPr defaultColWidth="9.109375" defaultRowHeight="12.6" x14ac:dyDescent="0.25"/>
  <cols>
    <col min="1" max="1" width="6.5546875" style="18" customWidth="1"/>
    <col min="2" max="2" width="66.33203125" style="18" customWidth="1"/>
    <col min="3" max="3" width="10.44140625" style="18" customWidth="1"/>
    <col min="4" max="21" width="8.44140625" style="18" customWidth="1"/>
    <col min="22" max="24" width="9.109375" style="18"/>
    <col min="25" max="25" width="26.44140625" style="18" customWidth="1"/>
    <col min="26" max="16384" width="9.109375" style="18"/>
  </cols>
  <sheetData>
    <row r="1" spans="1:21" s="9" customFormat="1" ht="33.75" customHeight="1" x14ac:dyDescent="0.3">
      <c r="A1" s="137" t="s">
        <v>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16.5" customHeight="1" x14ac:dyDescent="0.25">
      <c r="A2" s="187" t="s">
        <v>41</v>
      </c>
      <c r="B2" s="187" t="s">
        <v>12</v>
      </c>
      <c r="C2" s="187" t="s">
        <v>43</v>
      </c>
      <c r="D2" s="178" t="s">
        <v>128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80"/>
    </row>
    <row r="3" spans="1:21" ht="18" customHeight="1" x14ac:dyDescent="0.25">
      <c r="A3" s="188"/>
      <c r="B3" s="188"/>
      <c r="C3" s="188"/>
      <c r="D3" s="178" t="s">
        <v>30</v>
      </c>
      <c r="E3" s="179"/>
      <c r="F3" s="180"/>
      <c r="G3" s="178" t="s">
        <v>18</v>
      </c>
      <c r="H3" s="179"/>
      <c r="I3" s="180"/>
      <c r="J3" s="178" t="s">
        <v>31</v>
      </c>
      <c r="K3" s="179"/>
      <c r="L3" s="180"/>
      <c r="M3" s="178" t="s">
        <v>32</v>
      </c>
      <c r="N3" s="179"/>
      <c r="O3" s="180"/>
      <c r="P3" s="178" t="s">
        <v>33</v>
      </c>
      <c r="Q3" s="179"/>
      <c r="R3" s="180"/>
      <c r="S3" s="178" t="s">
        <v>34</v>
      </c>
      <c r="T3" s="179"/>
      <c r="U3" s="180"/>
    </row>
    <row r="4" spans="1:21" ht="24" customHeight="1" x14ac:dyDescent="0.25">
      <c r="A4" s="189"/>
      <c r="B4" s="189"/>
      <c r="C4" s="189"/>
      <c r="D4" s="59" t="s">
        <v>77</v>
      </c>
      <c r="E4" s="59" t="s">
        <v>78</v>
      </c>
      <c r="F4" s="59" t="s">
        <v>79</v>
      </c>
      <c r="G4" s="59" t="s">
        <v>77</v>
      </c>
      <c r="H4" s="59" t="s">
        <v>78</v>
      </c>
      <c r="I4" s="59" t="s">
        <v>79</v>
      </c>
      <c r="J4" s="59" t="s">
        <v>77</v>
      </c>
      <c r="K4" s="59" t="s">
        <v>78</v>
      </c>
      <c r="L4" s="59" t="s">
        <v>79</v>
      </c>
      <c r="M4" s="59" t="s">
        <v>77</v>
      </c>
      <c r="N4" s="59" t="s">
        <v>78</v>
      </c>
      <c r="O4" s="59" t="s">
        <v>79</v>
      </c>
      <c r="P4" s="59" t="s">
        <v>77</v>
      </c>
      <c r="Q4" s="59" t="s">
        <v>78</v>
      </c>
      <c r="R4" s="59" t="s">
        <v>79</v>
      </c>
      <c r="S4" s="59" t="s">
        <v>77</v>
      </c>
      <c r="T4" s="59" t="s">
        <v>78</v>
      </c>
      <c r="U4" s="59" t="s">
        <v>79</v>
      </c>
    </row>
    <row r="5" spans="1:21" ht="13.2" x14ac:dyDescent="0.25">
      <c r="A5" s="22">
        <v>1</v>
      </c>
      <c r="B5" s="40">
        <v>2</v>
      </c>
      <c r="C5" s="40">
        <v>3</v>
      </c>
      <c r="D5" s="22">
        <v>4</v>
      </c>
      <c r="E5" s="22">
        <f>D5+1</f>
        <v>5</v>
      </c>
      <c r="F5" s="22">
        <f t="shared" ref="F5:U5" si="0">E5+1</f>
        <v>6</v>
      </c>
      <c r="G5" s="22">
        <f t="shared" si="0"/>
        <v>7</v>
      </c>
      <c r="H5" s="22">
        <f t="shared" si="0"/>
        <v>8</v>
      </c>
      <c r="I5" s="22">
        <f t="shared" si="0"/>
        <v>9</v>
      </c>
      <c r="J5" s="22">
        <f t="shared" si="0"/>
        <v>10</v>
      </c>
      <c r="K5" s="22">
        <f t="shared" si="0"/>
        <v>11</v>
      </c>
      <c r="L5" s="22">
        <f t="shared" si="0"/>
        <v>12</v>
      </c>
      <c r="M5" s="22">
        <f t="shared" si="0"/>
        <v>13</v>
      </c>
      <c r="N5" s="22">
        <f t="shared" si="0"/>
        <v>14</v>
      </c>
      <c r="O5" s="22">
        <f t="shared" si="0"/>
        <v>15</v>
      </c>
      <c r="P5" s="22">
        <f t="shared" si="0"/>
        <v>16</v>
      </c>
      <c r="Q5" s="22">
        <f t="shared" si="0"/>
        <v>17</v>
      </c>
      <c r="R5" s="22">
        <f t="shared" si="0"/>
        <v>18</v>
      </c>
      <c r="S5" s="22">
        <f t="shared" si="0"/>
        <v>19</v>
      </c>
      <c r="T5" s="22">
        <f t="shared" si="0"/>
        <v>20</v>
      </c>
      <c r="U5" s="22">
        <f t="shared" si="0"/>
        <v>21</v>
      </c>
    </row>
    <row r="6" spans="1:21" ht="15.6" x14ac:dyDescent="0.25">
      <c r="A6" s="20" t="s">
        <v>99</v>
      </c>
      <c r="B6" s="181" t="s">
        <v>45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3"/>
    </row>
    <row r="7" spans="1:21" ht="94.5" customHeight="1" x14ac:dyDescent="0.25">
      <c r="A7" s="39" t="s">
        <v>101</v>
      </c>
      <c r="B7" s="67" t="s">
        <v>57</v>
      </c>
      <c r="C7" s="23" t="s">
        <v>14</v>
      </c>
      <c r="D7" s="45">
        <f>213/1744%</f>
        <v>12.213302752293577</v>
      </c>
      <c r="E7" s="45">
        <f>D7</f>
        <v>12.213302752293577</v>
      </c>
      <c r="F7" s="45">
        <f>D7</f>
        <v>12.213302752293577</v>
      </c>
      <c r="G7" s="45">
        <f>48/167%</f>
        <v>28.742514970059883</v>
      </c>
      <c r="H7" s="45">
        <f>G7</f>
        <v>28.742514970059883</v>
      </c>
      <c r="I7" s="45">
        <f>48/167%</f>
        <v>28.742514970059883</v>
      </c>
      <c r="J7" s="43">
        <f>0/304%</f>
        <v>0</v>
      </c>
      <c r="K7" s="43">
        <f>0/304%</f>
        <v>0</v>
      </c>
      <c r="L7" s="43">
        <f>0/304%</f>
        <v>0</v>
      </c>
      <c r="M7" s="42">
        <f>0/444%</f>
        <v>0</v>
      </c>
      <c r="N7" s="42">
        <f>0/444%</f>
        <v>0</v>
      </c>
      <c r="O7" s="42">
        <f>0/444%</f>
        <v>0</v>
      </c>
      <c r="P7" s="42">
        <f>0/304%</f>
        <v>0</v>
      </c>
      <c r="Q7" s="42">
        <f>0/304%</f>
        <v>0</v>
      </c>
      <c r="R7" s="42">
        <f>0/304%</f>
        <v>0</v>
      </c>
      <c r="S7" s="62">
        <f>2/296%</f>
        <v>0.67567567567567566</v>
      </c>
      <c r="T7" s="46">
        <f>2/296%</f>
        <v>0.67567567567567566</v>
      </c>
      <c r="U7" s="49">
        <f>2/296%</f>
        <v>0.67567567567567566</v>
      </c>
    </row>
    <row r="8" spans="1:21" ht="46.8" x14ac:dyDescent="0.25">
      <c r="A8" s="28" t="s">
        <v>47</v>
      </c>
      <c r="B8" s="69" t="s">
        <v>96</v>
      </c>
      <c r="C8" s="27" t="s">
        <v>98</v>
      </c>
      <c r="D8" s="72">
        <v>213</v>
      </c>
      <c r="E8" s="72">
        <v>213</v>
      </c>
      <c r="F8" s="72">
        <v>213</v>
      </c>
      <c r="G8" s="72">
        <v>48</v>
      </c>
      <c r="H8" s="72">
        <v>48</v>
      </c>
      <c r="I8" s="72">
        <v>48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5">
        <v>2</v>
      </c>
      <c r="T8" s="76">
        <v>2</v>
      </c>
      <c r="U8" s="77">
        <v>2</v>
      </c>
    </row>
    <row r="9" spans="1:21" ht="15.6" x14ac:dyDescent="0.25">
      <c r="A9" s="28" t="s">
        <v>48</v>
      </c>
      <c r="B9" s="69" t="s">
        <v>97</v>
      </c>
      <c r="C9" s="27" t="s">
        <v>98</v>
      </c>
      <c r="D9" s="72">
        <v>1744</v>
      </c>
      <c r="E9" s="72">
        <v>1744</v>
      </c>
      <c r="F9" s="72">
        <v>1744</v>
      </c>
      <c r="G9" s="72">
        <v>167</v>
      </c>
      <c r="H9" s="72">
        <v>167</v>
      </c>
      <c r="I9" s="72">
        <v>167</v>
      </c>
      <c r="J9" s="72">
        <v>304</v>
      </c>
      <c r="K9" s="72">
        <v>304</v>
      </c>
      <c r="L9" s="72">
        <v>304</v>
      </c>
      <c r="M9" s="72">
        <v>444</v>
      </c>
      <c r="N9" s="72">
        <v>444</v>
      </c>
      <c r="O9" s="72">
        <v>444</v>
      </c>
      <c r="P9" s="72">
        <v>304</v>
      </c>
      <c r="Q9" s="72">
        <v>304</v>
      </c>
      <c r="R9" s="72">
        <v>304</v>
      </c>
      <c r="S9" s="75">
        <v>296</v>
      </c>
      <c r="T9" s="76">
        <v>296</v>
      </c>
      <c r="U9" s="77">
        <v>296</v>
      </c>
    </row>
    <row r="10" spans="1:21" s="71" customFormat="1" ht="66" customHeight="1" x14ac:dyDescent="0.25">
      <c r="A10" s="28" t="s">
        <v>102</v>
      </c>
      <c r="B10" s="26" t="s">
        <v>76</v>
      </c>
      <c r="C10" s="27" t="s">
        <v>14</v>
      </c>
      <c r="D10" s="73">
        <f>179/2080%</f>
        <v>8.6057692307692299</v>
      </c>
      <c r="E10" s="73">
        <f>179/2080%</f>
        <v>8.6057692307692299</v>
      </c>
      <c r="F10" s="73">
        <f>179/2080%</f>
        <v>8.6057692307692299</v>
      </c>
      <c r="G10" s="73">
        <f>85/276%</f>
        <v>30.797101449275363</v>
      </c>
      <c r="H10" s="73">
        <f>G10</f>
        <v>30.797101449275363</v>
      </c>
      <c r="I10" s="73">
        <f>85/276%</f>
        <v>30.797101449275363</v>
      </c>
      <c r="J10" s="72">
        <f>0/194%</f>
        <v>0</v>
      </c>
      <c r="K10" s="72">
        <f>0/194%</f>
        <v>0</v>
      </c>
      <c r="L10" s="72">
        <f>0/194%</f>
        <v>0</v>
      </c>
      <c r="M10" s="72">
        <f>0/300%</f>
        <v>0</v>
      </c>
      <c r="N10" s="72">
        <f>0/300%</f>
        <v>0</v>
      </c>
      <c r="O10" s="72">
        <f>0/300%</f>
        <v>0</v>
      </c>
      <c r="P10" s="72">
        <f t="shared" ref="P10:U10" si="1">0/276%</f>
        <v>0</v>
      </c>
      <c r="Q10" s="72">
        <f t="shared" si="1"/>
        <v>0</v>
      </c>
      <c r="R10" s="72">
        <f t="shared" si="1"/>
        <v>0</v>
      </c>
      <c r="S10" s="75">
        <f t="shared" si="1"/>
        <v>0</v>
      </c>
      <c r="T10" s="76">
        <f t="shared" si="1"/>
        <v>0</v>
      </c>
      <c r="U10" s="77">
        <f t="shared" si="1"/>
        <v>0</v>
      </c>
    </row>
    <row r="11" spans="1:21" ht="62.4" x14ac:dyDescent="0.25">
      <c r="A11" s="39" t="s">
        <v>49</v>
      </c>
      <c r="B11" s="69" t="s">
        <v>103</v>
      </c>
      <c r="C11" s="27" t="s">
        <v>98</v>
      </c>
      <c r="D11" s="72">
        <v>179</v>
      </c>
      <c r="E11" s="72">
        <v>179</v>
      </c>
      <c r="F11" s="72">
        <v>179</v>
      </c>
      <c r="G11" s="72">
        <v>85</v>
      </c>
      <c r="H11" s="72">
        <v>85</v>
      </c>
      <c r="I11" s="72">
        <v>85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5">
        <v>0</v>
      </c>
      <c r="T11" s="75">
        <v>0</v>
      </c>
      <c r="U11" s="77">
        <v>0</v>
      </c>
    </row>
    <row r="12" spans="1:21" ht="15.6" x14ac:dyDescent="0.25">
      <c r="A12" s="85" t="s">
        <v>100</v>
      </c>
      <c r="B12" s="68" t="s">
        <v>97</v>
      </c>
      <c r="C12" s="19" t="s">
        <v>98</v>
      </c>
      <c r="D12" s="78">
        <v>2080</v>
      </c>
      <c r="E12" s="78">
        <v>2080</v>
      </c>
      <c r="F12" s="78">
        <v>2080</v>
      </c>
      <c r="G12" s="54">
        <v>279</v>
      </c>
      <c r="H12" s="54">
        <v>279</v>
      </c>
      <c r="I12" s="54">
        <v>279</v>
      </c>
      <c r="J12" s="54">
        <v>194</v>
      </c>
      <c r="K12" s="54">
        <v>194</v>
      </c>
      <c r="L12" s="54">
        <v>194</v>
      </c>
      <c r="M12" s="54">
        <v>300</v>
      </c>
      <c r="N12" s="54">
        <v>300</v>
      </c>
      <c r="O12" s="54">
        <v>300</v>
      </c>
      <c r="P12" s="54">
        <v>276</v>
      </c>
      <c r="Q12" s="54">
        <v>276</v>
      </c>
      <c r="R12" s="54">
        <v>276</v>
      </c>
      <c r="S12" s="63">
        <v>276</v>
      </c>
      <c r="T12" s="63">
        <v>276</v>
      </c>
      <c r="U12" s="64">
        <v>276</v>
      </c>
    </row>
    <row r="13" spans="1:21" ht="17.25" customHeight="1" x14ac:dyDescent="0.25">
      <c r="A13" s="20" t="s">
        <v>104</v>
      </c>
      <c r="B13" s="184" t="s">
        <v>55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6"/>
    </row>
    <row r="14" spans="1:21" ht="17.25" customHeight="1" x14ac:dyDescent="0.25">
      <c r="A14" s="97">
        <v>1</v>
      </c>
      <c r="B14" s="67" t="s">
        <v>56</v>
      </c>
      <c r="C14" s="23" t="s">
        <v>52</v>
      </c>
      <c r="D14" s="42">
        <f>0/23.4</f>
        <v>0</v>
      </c>
      <c r="E14" s="43">
        <f>0/23.4</f>
        <v>0</v>
      </c>
      <c r="F14" s="43">
        <f>0/23.4</f>
        <v>0</v>
      </c>
      <c r="G14" s="43">
        <f>0/6.319</f>
        <v>0</v>
      </c>
      <c r="H14" s="43">
        <f>0/6.319</f>
        <v>0</v>
      </c>
      <c r="I14" s="43">
        <f>0/6.319</f>
        <v>0</v>
      </c>
      <c r="J14" s="43">
        <f>0/2.395</f>
        <v>0</v>
      </c>
      <c r="K14" s="43">
        <f>0/2.395</f>
        <v>0</v>
      </c>
      <c r="L14" s="43">
        <f>0/2.395</f>
        <v>0</v>
      </c>
      <c r="M14" s="43">
        <f>0/5.707</f>
        <v>0</v>
      </c>
      <c r="N14" s="43">
        <f>0/5.707</f>
        <v>0</v>
      </c>
      <c r="O14" s="43">
        <f>0/5.707</f>
        <v>0</v>
      </c>
      <c r="P14" s="43">
        <f>0/3.391</f>
        <v>0</v>
      </c>
      <c r="Q14" s="43">
        <f>0/3.391</f>
        <v>0</v>
      </c>
      <c r="R14" s="43">
        <f>0/3.391</f>
        <v>0</v>
      </c>
      <c r="S14" s="43">
        <f>0/2.876</f>
        <v>0</v>
      </c>
      <c r="T14" s="43">
        <f>0/2.876</f>
        <v>0</v>
      </c>
      <c r="U14" s="80">
        <f>0/2.876</f>
        <v>0</v>
      </c>
    </row>
    <row r="15" spans="1:21" ht="171.6" x14ac:dyDescent="0.25">
      <c r="A15" s="109" t="s">
        <v>47</v>
      </c>
      <c r="B15" s="69" t="s">
        <v>105</v>
      </c>
      <c r="C15" s="70" t="s">
        <v>98</v>
      </c>
      <c r="D15" s="86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4">
        <v>0</v>
      </c>
    </row>
    <row r="16" spans="1:21" ht="15.6" x14ac:dyDescent="0.25">
      <c r="A16" s="110" t="s">
        <v>48</v>
      </c>
      <c r="B16" s="103" t="s">
        <v>106</v>
      </c>
      <c r="C16" s="88" t="s">
        <v>107</v>
      </c>
      <c r="D16" s="118">
        <v>23.4</v>
      </c>
      <c r="E16" s="119">
        <v>23.4</v>
      </c>
      <c r="F16" s="119">
        <v>23.4</v>
      </c>
      <c r="G16" s="119">
        <v>6.319</v>
      </c>
      <c r="H16" s="119">
        <v>6.319</v>
      </c>
      <c r="I16" s="119">
        <v>6.319</v>
      </c>
      <c r="J16" s="119">
        <v>2.395</v>
      </c>
      <c r="K16" s="119">
        <v>2.395</v>
      </c>
      <c r="L16" s="119">
        <v>2.395</v>
      </c>
      <c r="M16" s="119">
        <v>5.7069999999999999</v>
      </c>
      <c r="N16" s="119">
        <v>5.7069999999999999</v>
      </c>
      <c r="O16" s="119">
        <v>5.7069999999999999</v>
      </c>
      <c r="P16" s="119">
        <v>3.391</v>
      </c>
      <c r="Q16" s="119">
        <v>3.391</v>
      </c>
      <c r="R16" s="119">
        <v>3.391</v>
      </c>
      <c r="S16" s="119">
        <v>2.8759999999999999</v>
      </c>
      <c r="T16" s="119">
        <v>2.8759999999999999</v>
      </c>
      <c r="U16" s="120">
        <v>2.8759999999999999</v>
      </c>
    </row>
    <row r="17" spans="1:27" ht="15.75" customHeight="1" x14ac:dyDescent="0.25">
      <c r="A17" s="21" t="s">
        <v>108</v>
      </c>
      <c r="B17" s="184" t="s">
        <v>46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6"/>
    </row>
    <row r="18" spans="1:27" ht="50.25" customHeight="1" x14ac:dyDescent="0.25">
      <c r="A18" s="24" t="s">
        <v>101</v>
      </c>
      <c r="B18" s="67" t="s">
        <v>71</v>
      </c>
      <c r="C18" s="23" t="s">
        <v>14</v>
      </c>
      <c r="D18" s="45">
        <v>12.96</v>
      </c>
      <c r="E18" s="45">
        <v>12.96</v>
      </c>
      <c r="F18" s="45">
        <v>12.96</v>
      </c>
      <c r="G18" s="46">
        <v>2.56</v>
      </c>
      <c r="H18" s="45">
        <v>2.56</v>
      </c>
      <c r="I18" s="46">
        <v>2.56</v>
      </c>
      <c r="J18" s="45">
        <v>0.91</v>
      </c>
      <c r="K18" s="45">
        <v>0.91</v>
      </c>
      <c r="L18" s="45">
        <v>0.91</v>
      </c>
      <c r="M18" s="45">
        <v>1.88</v>
      </c>
      <c r="N18" s="45">
        <v>1.88</v>
      </c>
      <c r="O18" s="45">
        <v>1.88</v>
      </c>
      <c r="P18" s="45">
        <v>1.58</v>
      </c>
      <c r="Q18" s="45">
        <v>1.58</v>
      </c>
      <c r="R18" s="45">
        <v>1.58</v>
      </c>
      <c r="S18" s="61">
        <v>2.2200000000000002</v>
      </c>
      <c r="T18" s="46">
        <v>2.2200000000000002</v>
      </c>
      <c r="U18" s="49">
        <v>2.2200000000000002</v>
      </c>
      <c r="Y18" s="55"/>
      <c r="Z18" s="56"/>
      <c r="AA18" s="56"/>
    </row>
    <row r="19" spans="1:27" ht="15.6" x14ac:dyDescent="0.25">
      <c r="A19" s="39" t="s">
        <v>47</v>
      </c>
      <c r="B19" s="69" t="s">
        <v>109</v>
      </c>
      <c r="C19" s="70" t="s">
        <v>116</v>
      </c>
      <c r="D19" s="73">
        <f>1232955/1000</f>
        <v>1232.9549999999999</v>
      </c>
      <c r="E19" s="74">
        <v>1232.9549999999999</v>
      </c>
      <c r="F19" s="74">
        <v>1232.9549999999999</v>
      </c>
      <c r="G19" s="73">
        <f>41372.413/1000</f>
        <v>41.372413000000002</v>
      </c>
      <c r="H19" s="73">
        <f>41372.413/1000</f>
        <v>41.372413000000002</v>
      </c>
      <c r="I19" s="73">
        <f>41372.413/1000</f>
        <v>41.372413000000002</v>
      </c>
      <c r="J19" s="74">
        <f>19658.65/1000</f>
        <v>19.658650000000002</v>
      </c>
      <c r="K19" s="74">
        <f>19658.65/1000</f>
        <v>19.658650000000002</v>
      </c>
      <c r="L19" s="74">
        <f>19658.65/1000</f>
        <v>19.658650000000002</v>
      </c>
      <c r="M19" s="74">
        <f>34314.767/1000</f>
        <v>34.314767000000003</v>
      </c>
      <c r="N19" s="74">
        <f>34314.767/1000</f>
        <v>34.314767000000003</v>
      </c>
      <c r="O19" s="74">
        <f>34314.767/1000</f>
        <v>34.314767000000003</v>
      </c>
      <c r="P19" s="74">
        <f>31171.84/1000</f>
        <v>31.17184</v>
      </c>
      <c r="Q19" s="74">
        <f>31171.84/1000</f>
        <v>31.17184</v>
      </c>
      <c r="R19" s="74">
        <f>31171.84/1000</f>
        <v>31.17184</v>
      </c>
      <c r="S19" s="74">
        <f>27414.477/1000</f>
        <v>27.414476999999998</v>
      </c>
      <c r="T19" s="74">
        <f>27414.477/1000</f>
        <v>27.414476999999998</v>
      </c>
      <c r="U19" s="90">
        <f>27414.477/1000</f>
        <v>27.414476999999998</v>
      </c>
      <c r="Y19" s="55"/>
      <c r="Z19" s="56"/>
      <c r="AA19" s="56"/>
    </row>
    <row r="20" spans="1:27" ht="31.2" x14ac:dyDescent="0.25">
      <c r="A20" s="39" t="s">
        <v>48</v>
      </c>
      <c r="B20" s="69" t="s">
        <v>110</v>
      </c>
      <c r="C20" s="70" t="s">
        <v>116</v>
      </c>
      <c r="D20" s="73">
        <f>159786.052/1000</f>
        <v>159.78605199999998</v>
      </c>
      <c r="E20" s="74">
        <v>159.78605199999998</v>
      </c>
      <c r="F20" s="74">
        <v>159.78605199999998</v>
      </c>
      <c r="G20" s="50">
        <f>1059.862/1000</f>
        <v>1.0598620000000001</v>
      </c>
      <c r="H20" s="50">
        <f>1059.862/1000</f>
        <v>1.0598620000000001</v>
      </c>
      <c r="I20" s="50">
        <f>1059.862/1000</f>
        <v>1.0598620000000001</v>
      </c>
      <c r="J20" s="89">
        <f>177.936/1000</f>
        <v>0.17793600000000001</v>
      </c>
      <c r="K20" s="89">
        <f>177.936/1000</f>
        <v>0.17793600000000001</v>
      </c>
      <c r="L20" s="89">
        <f>177.936/1000</f>
        <v>0.17793600000000001</v>
      </c>
      <c r="M20" s="89">
        <f>646.331/1000</f>
        <v>0.64633099999999999</v>
      </c>
      <c r="N20" s="89">
        <f>646.331/1000</f>
        <v>0.64633099999999999</v>
      </c>
      <c r="O20" s="89">
        <f>646.331/1000</f>
        <v>0.64633099999999999</v>
      </c>
      <c r="P20" s="89">
        <f>492.408/1000</f>
        <v>0.49240800000000001</v>
      </c>
      <c r="Q20" s="89">
        <f>492.408/1000</f>
        <v>0.49240800000000001</v>
      </c>
      <c r="R20" s="89">
        <f>492.408/1000</f>
        <v>0.49240800000000001</v>
      </c>
      <c r="S20" s="89">
        <f>609.141/1000</f>
        <v>0.60914099999999993</v>
      </c>
      <c r="T20" s="89">
        <f>609.141/1000</f>
        <v>0.60914099999999993</v>
      </c>
      <c r="U20" s="91">
        <f>609.141/1000</f>
        <v>0.60914099999999993</v>
      </c>
      <c r="Y20" s="55"/>
      <c r="Z20" s="56"/>
      <c r="AA20" s="56"/>
    </row>
    <row r="21" spans="1:27" ht="49.5" customHeight="1" x14ac:dyDescent="0.25">
      <c r="A21" s="28" t="s">
        <v>102</v>
      </c>
      <c r="B21" s="26" t="s">
        <v>53</v>
      </c>
      <c r="C21" s="48" t="s">
        <v>62</v>
      </c>
      <c r="D21" s="98">
        <f>D22/D23</f>
        <v>4.2516228379671013E-2</v>
      </c>
      <c r="E21" s="94">
        <f>E22/E23</f>
        <v>4.2516228379671013E-2</v>
      </c>
      <c r="F21" s="94">
        <f>F22/F23</f>
        <v>4.2516228379671013E-2</v>
      </c>
      <c r="G21" s="47" t="s">
        <v>59</v>
      </c>
      <c r="H21" s="65" t="s">
        <v>59</v>
      </c>
      <c r="I21" s="65" t="s">
        <v>59</v>
      </c>
      <c r="J21" s="65" t="s">
        <v>59</v>
      </c>
      <c r="K21" s="65" t="s">
        <v>59</v>
      </c>
      <c r="L21" s="65" t="s">
        <v>59</v>
      </c>
      <c r="M21" s="65" t="s">
        <v>59</v>
      </c>
      <c r="N21" s="65" t="s">
        <v>59</v>
      </c>
      <c r="O21" s="65" t="s">
        <v>59</v>
      </c>
      <c r="P21" s="65" t="s">
        <v>59</v>
      </c>
      <c r="Q21" s="104" t="s">
        <v>59</v>
      </c>
      <c r="R21" s="65" t="s">
        <v>59</v>
      </c>
      <c r="S21" s="65" t="s">
        <v>59</v>
      </c>
      <c r="T21" s="65" t="s">
        <v>59</v>
      </c>
      <c r="U21" s="92" t="s">
        <v>59</v>
      </c>
      <c r="Y21" s="55"/>
      <c r="Z21" s="56"/>
      <c r="AA21" s="56"/>
    </row>
    <row r="22" spans="1:27" ht="31.2" x14ac:dyDescent="0.25">
      <c r="A22" s="85" t="s">
        <v>49</v>
      </c>
      <c r="B22" s="69" t="s">
        <v>111</v>
      </c>
      <c r="C22" s="108" t="s">
        <v>129</v>
      </c>
      <c r="D22" s="121">
        <f>54226.048/1000</f>
        <v>54.226048000000006</v>
      </c>
      <c r="E22" s="122">
        <f>54226.048/1000</f>
        <v>54.226048000000006</v>
      </c>
      <c r="F22" s="74">
        <f>54226.048/1000</f>
        <v>54.226048000000006</v>
      </c>
      <c r="G22" s="47" t="s">
        <v>59</v>
      </c>
      <c r="H22" s="65" t="s">
        <v>59</v>
      </c>
      <c r="I22" s="65" t="s">
        <v>59</v>
      </c>
      <c r="J22" s="65" t="s">
        <v>59</v>
      </c>
      <c r="K22" s="65" t="s">
        <v>59</v>
      </c>
      <c r="L22" s="65" t="s">
        <v>59</v>
      </c>
      <c r="M22" s="65" t="s">
        <v>59</v>
      </c>
      <c r="N22" s="65" t="s">
        <v>59</v>
      </c>
      <c r="O22" s="65" t="s">
        <v>59</v>
      </c>
      <c r="P22" s="65" t="s">
        <v>59</v>
      </c>
      <c r="Q22" s="65" t="s">
        <v>59</v>
      </c>
      <c r="R22" s="115" t="s">
        <v>59</v>
      </c>
      <c r="S22" s="115" t="s">
        <v>59</v>
      </c>
      <c r="T22" s="115" t="s">
        <v>59</v>
      </c>
      <c r="U22" s="116" t="s">
        <v>59</v>
      </c>
      <c r="Y22" s="55"/>
      <c r="Z22" s="56"/>
      <c r="AA22" s="56"/>
    </row>
    <row r="23" spans="1:27" ht="31.2" x14ac:dyDescent="0.25">
      <c r="A23" s="28" t="s">
        <v>100</v>
      </c>
      <c r="B23" s="111" t="s">
        <v>112</v>
      </c>
      <c r="C23" s="102" t="s">
        <v>116</v>
      </c>
      <c r="D23" s="93">
        <v>1275.42</v>
      </c>
      <c r="E23" s="74">
        <v>1275.42</v>
      </c>
      <c r="F23" s="66">
        <v>1275.42</v>
      </c>
      <c r="G23" s="65" t="s">
        <v>59</v>
      </c>
      <c r="H23" s="112" t="s">
        <v>59</v>
      </c>
      <c r="I23" s="112" t="s">
        <v>59</v>
      </c>
      <c r="J23" s="112" t="s">
        <v>59</v>
      </c>
      <c r="K23" s="112" t="s">
        <v>59</v>
      </c>
      <c r="L23" s="112" t="s">
        <v>59</v>
      </c>
      <c r="M23" s="112" t="s">
        <v>59</v>
      </c>
      <c r="N23" s="112" t="s">
        <v>59</v>
      </c>
      <c r="O23" s="112" t="s">
        <v>59</v>
      </c>
      <c r="P23" s="112" t="s">
        <v>59</v>
      </c>
      <c r="Q23" s="112" t="s">
        <v>59</v>
      </c>
      <c r="R23" s="65" t="s">
        <v>59</v>
      </c>
      <c r="S23" s="65" t="s">
        <v>59</v>
      </c>
      <c r="T23" s="65" t="s">
        <v>59</v>
      </c>
      <c r="U23" s="92" t="s">
        <v>59</v>
      </c>
      <c r="Y23" s="55"/>
      <c r="Z23" s="56"/>
      <c r="AA23" s="56"/>
    </row>
    <row r="24" spans="1:27" ht="49.5" customHeight="1" x14ac:dyDescent="0.25">
      <c r="A24" s="79" t="s">
        <v>115</v>
      </c>
      <c r="B24" s="117" t="s">
        <v>58</v>
      </c>
      <c r="C24" s="113" t="s">
        <v>62</v>
      </c>
      <c r="D24" s="98">
        <f>(135161.33-54226.048)/1282000</f>
        <v>6.3132045241809653E-2</v>
      </c>
      <c r="E24" s="94">
        <f>(135161.33-54226.048)/1282000</f>
        <v>6.3132045241809653E-2</v>
      </c>
      <c r="F24" s="94">
        <f>(135161.33-54226.048)/1282000</f>
        <v>6.3132045241809653E-2</v>
      </c>
      <c r="G24" s="94">
        <f>129888.54/41718.3</f>
        <v>3.11346675200092</v>
      </c>
      <c r="H24" s="94">
        <f>129888.54/41718.3</f>
        <v>3.11346675200092</v>
      </c>
      <c r="I24" s="94">
        <f>129888.54/41718.3</f>
        <v>3.11346675200092</v>
      </c>
      <c r="J24" s="94">
        <f>48623.7/19868.317</f>
        <v>2.4472983796262158</v>
      </c>
      <c r="K24" s="94">
        <f>48623.7/19868.317</f>
        <v>2.4472983796262158</v>
      </c>
      <c r="L24" s="94">
        <f>48623.7/19868.317</f>
        <v>2.4472983796262158</v>
      </c>
      <c r="M24" s="94">
        <f>26609.7/34652.309</f>
        <v>0.7679055384159249</v>
      </c>
      <c r="N24" s="94">
        <f>26609.7/34652.309</f>
        <v>0.7679055384159249</v>
      </c>
      <c r="O24" s="94">
        <f>26609.7/34652.309</f>
        <v>0.7679055384159249</v>
      </c>
      <c r="P24" s="94">
        <f>19116.3/31495.092</f>
        <v>0.60696123700797566</v>
      </c>
      <c r="Q24" s="94">
        <f>19116.3/31495.092</f>
        <v>0.60696123700797566</v>
      </c>
      <c r="R24" s="94">
        <f>19116.3/31495.092</f>
        <v>0.60696123700797566</v>
      </c>
      <c r="S24" s="94">
        <f>97689.5/27644.904</f>
        <v>3.5337254200629529</v>
      </c>
      <c r="T24" s="94">
        <f>97689.5/27644.904</f>
        <v>3.5337254200629529</v>
      </c>
      <c r="U24" s="96">
        <f>97689.5/27644.904</f>
        <v>3.5337254200629529</v>
      </c>
      <c r="Y24" s="55"/>
      <c r="Z24" s="56"/>
      <c r="AA24" s="56"/>
    </row>
    <row r="25" spans="1:27" ht="31.2" x14ac:dyDescent="0.25">
      <c r="A25" s="28" t="s">
        <v>50</v>
      </c>
      <c r="B25" s="69" t="s">
        <v>113</v>
      </c>
      <c r="C25" s="114" t="s">
        <v>129</v>
      </c>
      <c r="D25" s="73">
        <f>(135161.33-54226.048)/1000</f>
        <v>80.935281999999972</v>
      </c>
      <c r="E25" s="74">
        <f>(135161.33-54226.048)/1000</f>
        <v>80.935281999999972</v>
      </c>
      <c r="F25" s="74">
        <f>(135161.33-54226.048)/1000</f>
        <v>80.935281999999972</v>
      </c>
      <c r="G25" s="74">
        <f>129888.54/1000</f>
        <v>129.88854000000001</v>
      </c>
      <c r="H25" s="74">
        <f>129888.54/1000</f>
        <v>129.88854000000001</v>
      </c>
      <c r="I25" s="74">
        <f>129888.54/1000</f>
        <v>129.88854000000001</v>
      </c>
      <c r="J25" s="74">
        <f>48623.7/1000</f>
        <v>48.623699999999999</v>
      </c>
      <c r="K25" s="74">
        <f>48623.7/1000</f>
        <v>48.623699999999999</v>
      </c>
      <c r="L25" s="74">
        <f>48623.7/1000</f>
        <v>48.623699999999999</v>
      </c>
      <c r="M25" s="74">
        <f>26609.7/1000</f>
        <v>26.6097</v>
      </c>
      <c r="N25" s="74">
        <f>26609.7/1000</f>
        <v>26.6097</v>
      </c>
      <c r="O25" s="74">
        <f>26609.7/1000</f>
        <v>26.6097</v>
      </c>
      <c r="P25" s="74">
        <f>19116.3/1000</f>
        <v>19.116299999999999</v>
      </c>
      <c r="Q25" s="74">
        <f>19116.3/1000</f>
        <v>19.116299999999999</v>
      </c>
      <c r="R25" s="74">
        <f>19116.3/1000</f>
        <v>19.116299999999999</v>
      </c>
      <c r="S25" s="74">
        <f>97689.5/1000</f>
        <v>97.689499999999995</v>
      </c>
      <c r="T25" s="74">
        <f>97689.5/1000</f>
        <v>97.689499999999995</v>
      </c>
      <c r="U25" s="90">
        <f>97689.5/1000</f>
        <v>97.689499999999995</v>
      </c>
      <c r="Y25" s="55"/>
      <c r="Z25" s="56"/>
      <c r="AA25" s="56"/>
    </row>
    <row r="26" spans="1:27" ht="15.6" x14ac:dyDescent="0.25">
      <c r="A26" s="25" t="s">
        <v>51</v>
      </c>
      <c r="B26" s="103" t="s">
        <v>114</v>
      </c>
      <c r="C26" s="95" t="s">
        <v>116</v>
      </c>
      <c r="D26" s="87">
        <v>1275.42</v>
      </c>
      <c r="E26" s="82">
        <v>1275.42</v>
      </c>
      <c r="F26" s="82">
        <v>1275.42</v>
      </c>
      <c r="G26" s="82">
        <f>41718.3/1000</f>
        <v>41.718300000000006</v>
      </c>
      <c r="H26" s="82">
        <f>41718.3/1000</f>
        <v>41.718300000000006</v>
      </c>
      <c r="I26" s="82">
        <f>41718.3/1000</f>
        <v>41.718300000000006</v>
      </c>
      <c r="J26" s="82">
        <f>19868.317/1000</f>
        <v>19.868316999999998</v>
      </c>
      <c r="K26" s="82">
        <f>19868.317/1000</f>
        <v>19.868316999999998</v>
      </c>
      <c r="L26" s="82">
        <f>19868.317/1000</f>
        <v>19.868316999999998</v>
      </c>
      <c r="M26" s="82">
        <f>34652.309/1000</f>
        <v>34.652309000000002</v>
      </c>
      <c r="N26" s="82">
        <f>34652.309/1000</f>
        <v>34.652309000000002</v>
      </c>
      <c r="O26" s="82">
        <f>34652.309/1000</f>
        <v>34.652309000000002</v>
      </c>
      <c r="P26" s="82">
        <f>31495.092/1000</f>
        <v>31.495092</v>
      </c>
      <c r="Q26" s="82">
        <f>31495.092/1000</f>
        <v>31.495092</v>
      </c>
      <c r="R26" s="82">
        <f>31495.092/1000</f>
        <v>31.495092</v>
      </c>
      <c r="S26" s="82">
        <f>27644.904/1000</f>
        <v>27.644904</v>
      </c>
      <c r="T26" s="82">
        <f>27644.904/1000</f>
        <v>27.644904</v>
      </c>
      <c r="U26" s="83">
        <f>27644.904/1000</f>
        <v>27.644904</v>
      </c>
      <c r="Y26" s="57"/>
      <c r="Z26" s="56"/>
      <c r="AA26" s="58"/>
    </row>
  </sheetData>
  <mergeCells count="14">
    <mergeCell ref="J3:L3"/>
    <mergeCell ref="B6:U6"/>
    <mergeCell ref="B13:U13"/>
    <mergeCell ref="B17:U17"/>
    <mergeCell ref="A1:U1"/>
    <mergeCell ref="D2:U2"/>
    <mergeCell ref="B2:B4"/>
    <mergeCell ref="A2:A4"/>
    <mergeCell ref="C2:C4"/>
    <mergeCell ref="D3:F3"/>
    <mergeCell ref="G3:I3"/>
    <mergeCell ref="M3:O3"/>
    <mergeCell ref="P3:R3"/>
    <mergeCell ref="S3:U3"/>
  </mergeCells>
  <phoneticPr fontId="2" type="noConversion"/>
  <printOptions horizontalCentered="1"/>
  <pageMargins left="0.23622047244094491" right="0.19685039370078741" top="0.78740157480314965" bottom="0.39370078740157483" header="0.51181102362204722" footer="0.51181102362204722"/>
  <pageSetup paperSize="9" scale="6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G16" sqref="G16"/>
    </sheetView>
  </sheetViews>
  <sheetFormatPr defaultColWidth="9.109375" defaultRowHeight="15.6" x14ac:dyDescent="0.3"/>
  <cols>
    <col min="1" max="1" width="5.5546875" style="4" customWidth="1"/>
    <col min="2" max="2" width="24.5546875" style="4" customWidth="1"/>
    <col min="3" max="3" width="13.33203125" style="4" customWidth="1"/>
    <col min="4" max="4" width="13.44140625" style="4" customWidth="1"/>
    <col min="5" max="5" width="12.109375" style="4" customWidth="1"/>
    <col min="6" max="6" width="13" style="4" customWidth="1"/>
    <col min="7" max="7" width="13.6640625" style="4" customWidth="1"/>
    <col min="8" max="8" width="13.109375" style="4" customWidth="1"/>
    <col min="9" max="9" width="13.88671875" style="4" customWidth="1"/>
    <col min="10" max="10" width="13.44140625" style="4" customWidth="1"/>
    <col min="11" max="11" width="11.109375" style="4" customWidth="1"/>
    <col min="12" max="12" width="12.44140625" style="4" customWidth="1"/>
    <col min="13" max="13" width="12.88671875" style="4" customWidth="1"/>
    <col min="14" max="16384" width="9.109375" style="4"/>
  </cols>
  <sheetData>
    <row r="1" spans="1:13" ht="19.5" customHeight="1" x14ac:dyDescent="0.3">
      <c r="A1" s="8" t="s">
        <v>95</v>
      </c>
    </row>
    <row r="2" spans="1:13" ht="15.75" customHeight="1" x14ac:dyDescent="0.3">
      <c r="A2" s="144" t="s">
        <v>19</v>
      </c>
      <c r="B2" s="142" t="s">
        <v>16</v>
      </c>
      <c r="C2" s="148" t="s">
        <v>1</v>
      </c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3" x14ac:dyDescent="0.3">
      <c r="A3" s="145"/>
      <c r="B3" s="147"/>
      <c r="C3" s="141" t="s">
        <v>2</v>
      </c>
      <c r="D3" s="141" t="s">
        <v>15</v>
      </c>
      <c r="E3" s="141" t="s">
        <v>9</v>
      </c>
      <c r="F3" s="141" t="s">
        <v>0</v>
      </c>
      <c r="G3" s="141" t="s">
        <v>17</v>
      </c>
      <c r="H3" s="141" t="s">
        <v>3</v>
      </c>
      <c r="I3" s="142" t="s">
        <v>8</v>
      </c>
      <c r="J3" s="141" t="s">
        <v>10</v>
      </c>
      <c r="K3" s="141" t="s">
        <v>4</v>
      </c>
      <c r="L3" s="141"/>
      <c r="M3" s="141"/>
    </row>
    <row r="4" spans="1:13" ht="51" customHeight="1" x14ac:dyDescent="0.3">
      <c r="A4" s="146"/>
      <c r="B4" s="143"/>
      <c r="C4" s="141"/>
      <c r="D4" s="141"/>
      <c r="E4" s="141"/>
      <c r="F4" s="141"/>
      <c r="G4" s="141"/>
      <c r="H4" s="141"/>
      <c r="I4" s="143"/>
      <c r="J4" s="141"/>
      <c r="K4" s="1" t="s">
        <v>5</v>
      </c>
      <c r="L4" s="1" t="s">
        <v>6</v>
      </c>
      <c r="M4" s="1" t="s">
        <v>7</v>
      </c>
    </row>
    <row r="5" spans="1:13" x14ac:dyDescent="0.3">
      <c r="A5" s="7">
        <v>1</v>
      </c>
      <c r="B5" s="1">
        <v>2</v>
      </c>
      <c r="C5" s="7">
        <v>3</v>
      </c>
      <c r="D5" s="1">
        <v>4</v>
      </c>
      <c r="E5" s="7">
        <v>5</v>
      </c>
      <c r="F5" s="1">
        <v>6</v>
      </c>
      <c r="G5" s="7">
        <v>7</v>
      </c>
      <c r="H5" s="1">
        <v>8</v>
      </c>
      <c r="I5" s="7">
        <v>9</v>
      </c>
      <c r="J5" s="1">
        <v>10</v>
      </c>
      <c r="K5" s="7">
        <v>11</v>
      </c>
      <c r="L5" s="1">
        <v>12</v>
      </c>
      <c r="M5" s="7">
        <v>13</v>
      </c>
    </row>
    <row r="6" spans="1:13" ht="17.25" customHeight="1" x14ac:dyDescent="0.3">
      <c r="A6" s="37" t="s">
        <v>20</v>
      </c>
      <c r="B6" s="2" t="s">
        <v>30</v>
      </c>
      <c r="C6" s="31"/>
      <c r="D6" s="51">
        <v>1317498</v>
      </c>
      <c r="E6" s="51">
        <v>41126.5</v>
      </c>
      <c r="F6" s="51">
        <f>D6-E6</f>
        <v>1276371.5</v>
      </c>
      <c r="G6" s="51">
        <v>147808.4</v>
      </c>
      <c r="H6" s="51">
        <f t="shared" ref="H6:H11" si="0">F6-G6</f>
        <v>1128563.1000000001</v>
      </c>
      <c r="I6" s="51">
        <v>472362.3</v>
      </c>
      <c r="J6" s="51">
        <f t="shared" ref="J6:J11" si="1">H6-I6</f>
        <v>656200.80000000005</v>
      </c>
      <c r="K6" s="51">
        <v>266446.59999999998</v>
      </c>
      <c r="L6" s="51">
        <v>28558.7</v>
      </c>
      <c r="M6" s="60">
        <v>361195.5</v>
      </c>
    </row>
    <row r="7" spans="1:13" ht="17.25" customHeight="1" x14ac:dyDescent="0.3">
      <c r="A7" s="5" t="s">
        <v>26</v>
      </c>
      <c r="B7" s="35" t="s">
        <v>18</v>
      </c>
      <c r="C7" s="31">
        <v>41957.599999999999</v>
      </c>
      <c r="D7" s="34"/>
      <c r="E7" s="34">
        <v>415.42099999999999</v>
      </c>
      <c r="F7" s="51">
        <f>C7-E7</f>
        <v>41542.178999999996</v>
      </c>
      <c r="G7" s="34">
        <v>1246.2</v>
      </c>
      <c r="H7" s="51">
        <f t="shared" si="0"/>
        <v>40295.978999999999</v>
      </c>
      <c r="I7" s="34">
        <v>3875.2370000000001</v>
      </c>
      <c r="J7" s="51">
        <f t="shared" si="1"/>
        <v>36420.741999999998</v>
      </c>
      <c r="K7" s="34">
        <v>33685.199999999997</v>
      </c>
      <c r="L7" s="34">
        <v>2389.5</v>
      </c>
      <c r="M7" s="30">
        <v>346</v>
      </c>
    </row>
    <row r="8" spans="1:13" ht="17.25" customHeight="1" x14ac:dyDescent="0.3">
      <c r="A8" s="5" t="s">
        <v>35</v>
      </c>
      <c r="B8" s="35" t="s">
        <v>31</v>
      </c>
      <c r="C8" s="31">
        <v>20053</v>
      </c>
      <c r="D8" s="34"/>
      <c r="E8" s="34">
        <v>197</v>
      </c>
      <c r="F8" s="32">
        <f>C8-E8</f>
        <v>19856</v>
      </c>
      <c r="G8" s="34">
        <v>189.65300000000002</v>
      </c>
      <c r="H8" s="32">
        <f t="shared" si="0"/>
        <v>19666.347000000002</v>
      </c>
      <c r="I8" s="34">
        <v>8122.527</v>
      </c>
      <c r="J8" s="32">
        <f t="shared" si="1"/>
        <v>11543.820000000002</v>
      </c>
      <c r="K8" s="34">
        <v>10499.82</v>
      </c>
      <c r="L8" s="34">
        <v>951</v>
      </c>
      <c r="M8" s="30">
        <v>93</v>
      </c>
    </row>
    <row r="9" spans="1:13" ht="17.25" customHeight="1" x14ac:dyDescent="0.3">
      <c r="A9" s="5" t="s">
        <v>64</v>
      </c>
      <c r="B9" s="35" t="s">
        <v>32</v>
      </c>
      <c r="C9" s="31">
        <v>34291.814000000006</v>
      </c>
      <c r="D9" s="34"/>
      <c r="E9" s="34">
        <v>342.91899999999993</v>
      </c>
      <c r="F9" s="32">
        <f>C9-E9</f>
        <v>33948.895000000004</v>
      </c>
      <c r="G9" s="34">
        <v>644.38499999999999</v>
      </c>
      <c r="H9" s="32">
        <f t="shared" si="0"/>
        <v>33304.51</v>
      </c>
      <c r="I9" s="34">
        <v>10417.634000000002</v>
      </c>
      <c r="J9" s="32">
        <f t="shared" si="1"/>
        <v>22886.876</v>
      </c>
      <c r="K9" s="34">
        <v>19785.976000000002</v>
      </c>
      <c r="L9" s="34">
        <v>2358.3000000000002</v>
      </c>
      <c r="M9" s="30">
        <v>742.6</v>
      </c>
    </row>
    <row r="10" spans="1:13" ht="17.25" customHeight="1" x14ac:dyDescent="0.3">
      <c r="A10" s="5" t="s">
        <v>66</v>
      </c>
      <c r="B10" s="35" t="s">
        <v>33</v>
      </c>
      <c r="C10" s="31">
        <v>31106.695</v>
      </c>
      <c r="D10" s="34"/>
      <c r="E10" s="34">
        <v>307.98500000000001</v>
      </c>
      <c r="F10" s="32">
        <f>C10-E10</f>
        <v>30798.71</v>
      </c>
      <c r="G10" s="34">
        <v>455.14499999999998</v>
      </c>
      <c r="H10" s="32">
        <f t="shared" si="0"/>
        <v>30343.564999999999</v>
      </c>
      <c r="I10" s="34">
        <v>11317.505999999999</v>
      </c>
      <c r="J10" s="32">
        <f t="shared" si="1"/>
        <v>19026.059000000001</v>
      </c>
      <c r="K10" s="34">
        <v>15187.058999999999</v>
      </c>
      <c r="L10" s="34">
        <v>3430</v>
      </c>
      <c r="M10" s="30">
        <v>409</v>
      </c>
    </row>
    <row r="11" spans="1:13" ht="17.25" customHeight="1" x14ac:dyDescent="0.3">
      <c r="A11" s="6" t="s">
        <v>68</v>
      </c>
      <c r="B11" s="36" t="s">
        <v>34</v>
      </c>
      <c r="C11" s="99">
        <v>28006.1</v>
      </c>
      <c r="D11" s="100"/>
      <c r="E11" s="100">
        <v>279.8</v>
      </c>
      <c r="F11" s="33">
        <f>C11-E11</f>
        <v>27726.3</v>
      </c>
      <c r="G11" s="100">
        <v>720.07699999999988</v>
      </c>
      <c r="H11" s="33">
        <f t="shared" si="0"/>
        <v>27006.222999999998</v>
      </c>
      <c r="I11" s="100">
        <v>2068.8470000000002</v>
      </c>
      <c r="J11" s="33">
        <f t="shared" si="1"/>
        <v>24937.375999999997</v>
      </c>
      <c r="K11" s="100">
        <v>23314.805</v>
      </c>
      <c r="L11" s="100">
        <v>1402.1</v>
      </c>
      <c r="M11" s="101">
        <v>220.5</v>
      </c>
    </row>
  </sheetData>
  <mergeCells count="12">
    <mergeCell ref="K3:M3"/>
    <mergeCell ref="A2:A4"/>
    <mergeCell ref="B2:B4"/>
    <mergeCell ref="C2:M2"/>
    <mergeCell ref="C3:C4"/>
    <mergeCell ref="D3:D4"/>
    <mergeCell ref="E3:E4"/>
    <mergeCell ref="F3:F4"/>
    <mergeCell ref="G3:G4"/>
    <mergeCell ref="H3:H4"/>
    <mergeCell ref="I3:I4"/>
    <mergeCell ref="J3:J4"/>
  </mergeCells>
  <phoneticPr fontId="2" type="noConversion"/>
  <printOptions horizontalCentered="1"/>
  <pageMargins left="0.39370078740157483" right="0.39370078740157483" top="1.0629921259842521" bottom="0.39370078740157483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раздел 2</vt:lpstr>
      <vt:lpstr>раздел 3,4</vt:lpstr>
      <vt:lpstr>раздел 5</vt:lpstr>
      <vt:lpstr>раздел 6</vt:lpstr>
      <vt:lpstr>'раздел 2'!Заголовки_для_печати</vt:lpstr>
      <vt:lpstr>'раздел 5'!Заголовки_для_печати</vt:lpstr>
      <vt:lpstr>'раздел 3,4'!Область_печати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2017-02-28T04:40:09Z</cp:lastPrinted>
  <dcterms:created xsi:type="dcterms:W3CDTF">1996-10-08T23:32:33Z</dcterms:created>
  <dcterms:modified xsi:type="dcterms:W3CDTF">2018-03-26T22:45:41Z</dcterms:modified>
</cp:coreProperties>
</file>