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30" windowWidth="14625" windowHeight="12525" tabRatio="886" activeTab="12"/>
  </bookViews>
  <sheets>
    <sheet name="раздел 1" sheetId="33" r:id="rId1"/>
    <sheet name="раздел 2 2019" sheetId="38" r:id="rId2"/>
    <sheet name="раздел 2 2020" sheetId="39" r:id="rId3"/>
    <sheet name="раздел 2 2021" sheetId="40" r:id="rId4"/>
    <sheet name="раздел 2 2022" sheetId="41" r:id="rId5"/>
    <sheet name="раздел 2 2023" sheetId="42" r:id="rId6"/>
    <sheet name="раздел 3" sheetId="43" r:id="rId7"/>
    <sheet name="раздел 3,4" sheetId="44" r:id="rId8"/>
    <sheet name="раздел 5 2019" sheetId="24" r:id="rId9"/>
    <sheet name="раздел 5 2020" sheetId="45" r:id="rId10"/>
    <sheet name="раздел 5 2021" sheetId="46" r:id="rId11"/>
    <sheet name="раздел 5 2022" sheetId="47" r:id="rId12"/>
    <sheet name="раздел 5 2023" sheetId="48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Titles" localSheetId="1">'раздел 2 2019'!$A:$C</definedName>
    <definedName name="_xlnm.Print_Titles" localSheetId="2">'раздел 2 2020'!$A:$C</definedName>
    <definedName name="_xlnm.Print_Titles" localSheetId="3">'раздел 2 2021'!$A:$C</definedName>
    <definedName name="_xlnm.Print_Titles" localSheetId="4">'раздел 2 2022'!$A:$C</definedName>
    <definedName name="_xlnm.Print_Titles" localSheetId="5">'раздел 2 2023'!$A:$C</definedName>
    <definedName name="_xlnm.Print_Titles" localSheetId="7">'раздел 3,4'!$16:$18</definedName>
    <definedName name="_xlnm.Print_Area" localSheetId="1">'раздел 2 2019'!$A$1:$AP$36</definedName>
    <definedName name="_xlnm.Print_Area" localSheetId="4">'раздел 2 2022'!$A$1:$AP$40</definedName>
    <definedName name="_xlnm.Print_Area" localSheetId="5">'раздел 2 2023'!$A$1:$AP$40</definedName>
    <definedName name="_xlnm.Print_Area" localSheetId="6">'раздел 3'!$A$1:$E$61</definedName>
    <definedName name="_xlnm.Print_Area" localSheetId="7">'раздел 3,4'!$A$1:$I$31</definedName>
  </definedNames>
  <calcPr calcId="145621"/>
</workbook>
</file>

<file path=xl/calcChain.xml><?xml version="1.0" encoding="utf-8"?>
<calcChain xmlns="http://schemas.openxmlformats.org/spreadsheetml/2006/main">
  <c r="D19" i="48" l="1"/>
  <c r="N20" i="48" l="1"/>
  <c r="M20" i="48"/>
  <c r="H20" i="48"/>
  <c r="E20" i="48"/>
  <c r="E24" i="48" s="1"/>
  <c r="E23" i="48" s="1"/>
  <c r="F20" i="48"/>
  <c r="F24" i="48" s="1"/>
  <c r="F23" i="48" s="1"/>
  <c r="G20" i="48"/>
  <c r="G24" i="48" s="1"/>
  <c r="G23" i="48" s="1"/>
  <c r="I20" i="48"/>
  <c r="J20" i="48"/>
  <c r="K20" i="48"/>
  <c r="L20" i="48"/>
  <c r="O20" i="48"/>
  <c r="O24" i="48" s="1"/>
  <c r="O23" i="48" s="1"/>
  <c r="P20" i="48"/>
  <c r="D20" i="48"/>
  <c r="D24" i="48" s="1"/>
  <c r="D23" i="48" s="1"/>
  <c r="M24" i="48"/>
  <c r="M23" i="48" s="1"/>
  <c r="E59" i="43"/>
  <c r="E49" i="43"/>
  <c r="E43" i="43"/>
  <c r="E36" i="43"/>
  <c r="E30" i="43"/>
  <c r="E22" i="43"/>
  <c r="E13" i="43"/>
  <c r="AP35" i="42"/>
  <c r="AN35" i="42" s="1"/>
  <c r="AN34" i="42" s="1"/>
  <c r="AP32" i="42"/>
  <c r="AO32" i="42" s="1"/>
  <c r="AO31" i="42" s="1"/>
  <c r="AP28" i="42"/>
  <c r="AP29" i="42" s="1"/>
  <c r="AO29" i="42" s="1"/>
  <c r="AP25" i="42"/>
  <c r="AP27" i="42" s="1"/>
  <c r="AP18" i="42"/>
  <c r="AP15" i="42"/>
  <c r="AO15" i="42" s="1"/>
  <c r="AO14" i="42" s="1"/>
  <c r="AP12" i="42"/>
  <c r="AO12" i="42" s="1"/>
  <c r="AP11" i="42"/>
  <c r="AN11" i="42" s="1"/>
  <c r="AP10" i="42"/>
  <c r="AM35" i="42"/>
  <c r="AM34" i="42" s="1"/>
  <c r="AM32" i="42"/>
  <c r="AK32" i="42" s="1"/>
  <c r="AK31" i="42" s="1"/>
  <c r="AM28" i="42"/>
  <c r="AM25" i="42"/>
  <c r="AM18" i="42"/>
  <c r="AM15" i="42"/>
  <c r="AL15" i="42" s="1"/>
  <c r="AL14" i="42" s="1"/>
  <c r="AM12" i="42"/>
  <c r="AL12" i="42" s="1"/>
  <c r="AM11" i="42"/>
  <c r="AK11" i="42" s="1"/>
  <c r="AM10" i="42"/>
  <c r="AM8" i="42" s="1"/>
  <c r="AJ35" i="42"/>
  <c r="AJ32" i="42"/>
  <c r="AH32" i="42" s="1"/>
  <c r="AH31" i="42" s="1"/>
  <c r="AJ28" i="42"/>
  <c r="AJ30" i="42" s="1"/>
  <c r="AI30" i="42" s="1"/>
  <c r="AJ25" i="42"/>
  <c r="AJ27" i="42" s="1"/>
  <c r="AI27" i="42" s="1"/>
  <c r="AJ18" i="42"/>
  <c r="AJ17" i="42" s="1"/>
  <c r="AJ15" i="42"/>
  <c r="AJ12" i="42"/>
  <c r="AJ11" i="42"/>
  <c r="AI11" i="42" s="1"/>
  <c r="AJ10" i="42"/>
  <c r="AG35" i="42"/>
  <c r="AG32" i="42"/>
  <c r="AG28" i="42"/>
  <c r="AG25" i="42"/>
  <c r="AG27" i="42" s="1"/>
  <c r="AG18" i="42"/>
  <c r="AG15" i="42"/>
  <c r="AG14" i="42" s="1"/>
  <c r="AG12" i="42"/>
  <c r="AG11" i="42"/>
  <c r="AG10" i="42"/>
  <c r="AF10" i="42" s="1"/>
  <c r="AF8" i="42" s="1"/>
  <c r="AD35" i="42"/>
  <c r="AC35" i="42" s="1"/>
  <c r="AC34" i="42" s="1"/>
  <c r="AD32" i="42"/>
  <c r="AB32" i="42" s="1"/>
  <c r="AB31" i="42" s="1"/>
  <c r="AD28" i="42"/>
  <c r="AD30" i="42" s="1"/>
  <c r="AC30" i="42" s="1"/>
  <c r="AD25" i="42"/>
  <c r="AD26" i="42" s="1"/>
  <c r="AD18" i="42"/>
  <c r="AD20" i="42" s="1"/>
  <c r="AD10" i="42"/>
  <c r="AC10" i="42" s="1"/>
  <c r="AC8" i="42" s="1"/>
  <c r="AD11" i="42"/>
  <c r="AC11" i="42" s="1"/>
  <c r="AA35" i="42"/>
  <c r="AA32" i="42"/>
  <c r="AA28" i="42"/>
  <c r="AA30" i="42" s="1"/>
  <c r="Z30" i="42" s="1"/>
  <c r="AA25" i="42"/>
  <c r="AA18" i="42"/>
  <c r="AA15" i="42"/>
  <c r="Z15" i="42" s="1"/>
  <c r="Z14" i="42" s="1"/>
  <c r="AA12" i="42"/>
  <c r="Z12" i="42" s="1"/>
  <c r="AA11" i="42"/>
  <c r="Z11" i="42" s="1"/>
  <c r="AA10" i="42"/>
  <c r="AA8" i="42" s="1"/>
  <c r="X35" i="42"/>
  <c r="V35" i="42" s="1"/>
  <c r="V34" i="42" s="1"/>
  <c r="X32" i="42"/>
  <c r="W32" i="42" s="1"/>
  <c r="W31" i="42" s="1"/>
  <c r="X28" i="42"/>
  <c r="X29" i="42" s="1"/>
  <c r="W29" i="42" s="1"/>
  <c r="X25" i="42"/>
  <c r="X27" i="42" s="1"/>
  <c r="X18" i="42"/>
  <c r="X15" i="42"/>
  <c r="W15" i="42" s="1"/>
  <c r="W14" i="42" s="1"/>
  <c r="X12" i="42"/>
  <c r="X11" i="42"/>
  <c r="X10" i="42"/>
  <c r="W10" i="42" s="1"/>
  <c r="W8" i="42" s="1"/>
  <c r="U35" i="42"/>
  <c r="U34" i="42" s="1"/>
  <c r="U32" i="42"/>
  <c r="T32" i="42" s="1"/>
  <c r="T31" i="42" s="1"/>
  <c r="U28" i="42"/>
  <c r="U30" i="42" s="1"/>
  <c r="U25" i="42"/>
  <c r="U27" i="42" s="1"/>
  <c r="U18" i="42"/>
  <c r="U15" i="42"/>
  <c r="U12" i="42"/>
  <c r="T12" i="42" s="1"/>
  <c r="U11" i="42"/>
  <c r="T11" i="42" s="1"/>
  <c r="U10" i="42"/>
  <c r="U8" i="42" s="1"/>
  <c r="R35" i="42"/>
  <c r="R34" i="42" s="1"/>
  <c r="R32" i="42"/>
  <c r="Q32" i="42" s="1"/>
  <c r="Q31" i="42" s="1"/>
  <c r="R28" i="42"/>
  <c r="R30" i="42" s="1"/>
  <c r="R25" i="42"/>
  <c r="R27" i="42" s="1"/>
  <c r="Q27" i="42" s="1"/>
  <c r="R18" i="42"/>
  <c r="R15" i="42"/>
  <c r="R12" i="42"/>
  <c r="R11" i="42"/>
  <c r="R10" i="42"/>
  <c r="P10" i="42" s="1"/>
  <c r="P8" i="42" s="1"/>
  <c r="O35" i="42"/>
  <c r="M35" i="42" s="1"/>
  <c r="M34" i="42" s="1"/>
  <c r="O32" i="42"/>
  <c r="M32" i="42" s="1"/>
  <c r="M31" i="42" s="1"/>
  <c r="O28" i="42"/>
  <c r="O30" i="42" s="1"/>
  <c r="N30" i="42" s="1"/>
  <c r="O25" i="42"/>
  <c r="O27" i="42" s="1"/>
  <c r="O18" i="42"/>
  <c r="O15" i="42"/>
  <c r="O14" i="42" s="1"/>
  <c r="G21" i="48" s="1"/>
  <c r="O12" i="42"/>
  <c r="N12" i="42" s="1"/>
  <c r="O11" i="42"/>
  <c r="N11" i="42" s="1"/>
  <c r="O10" i="42"/>
  <c r="N10" i="42" s="1"/>
  <c r="N8" i="42" s="1"/>
  <c r="L35" i="42"/>
  <c r="L32" i="42"/>
  <c r="J32" i="42" s="1"/>
  <c r="J31" i="42" s="1"/>
  <c r="L28" i="42"/>
  <c r="L30" i="42" s="1"/>
  <c r="L25" i="42"/>
  <c r="L27" i="42" s="1"/>
  <c r="K27" i="42" s="1"/>
  <c r="L18" i="42"/>
  <c r="L15" i="42"/>
  <c r="L14" i="42" s="1"/>
  <c r="F21" i="48" s="1"/>
  <c r="L11" i="42"/>
  <c r="K11" i="42" s="1"/>
  <c r="L10" i="42"/>
  <c r="K10" i="42" s="1"/>
  <c r="K8" i="42" s="1"/>
  <c r="AO35" i="42"/>
  <c r="AO34" i="42" s="1"/>
  <c r="AP34" i="42"/>
  <c r="AP30" i="42"/>
  <c r="AN30" i="42" s="1"/>
  <c r="AO30" i="42"/>
  <c r="AN10" i="42"/>
  <c r="AN8" i="42" s="1"/>
  <c r="AO10" i="42"/>
  <c r="AO8" i="42" s="1"/>
  <c r="AM31" i="42"/>
  <c r="AM30" i="42"/>
  <c r="AM27" i="42"/>
  <c r="AI35" i="42"/>
  <c r="AI34" i="42" s="1"/>
  <c r="AH35" i="42"/>
  <c r="AH34" i="42" s="1"/>
  <c r="AJ34" i="42"/>
  <c r="AJ26" i="42"/>
  <c r="AI15" i="42"/>
  <c r="AI14" i="42" s="1"/>
  <c r="AH15" i="42"/>
  <c r="AH14" i="42" s="1"/>
  <c r="AJ14" i="42"/>
  <c r="N21" i="48" s="1"/>
  <c r="AI12" i="42"/>
  <c r="AI10" i="42"/>
  <c r="AI8" i="42" s="1"/>
  <c r="AF35" i="42"/>
  <c r="AF34" i="42" s="1"/>
  <c r="AF32" i="42"/>
  <c r="AF31" i="42" s="1"/>
  <c r="AG31" i="42"/>
  <c r="AG30" i="42"/>
  <c r="AF30" i="42" s="1"/>
  <c r="AG29" i="42"/>
  <c r="AG17" i="42"/>
  <c r="AE12" i="42"/>
  <c r="AF12" i="42"/>
  <c r="AF11" i="42"/>
  <c r="AE11" i="42"/>
  <c r="AE10" i="42"/>
  <c r="AE8" i="42" s="1"/>
  <c r="AC32" i="42"/>
  <c r="AC31" i="42" s="1"/>
  <c r="Z35" i="42"/>
  <c r="Z34" i="42" s="1"/>
  <c r="Y35" i="42"/>
  <c r="Y34" i="42" s="1"/>
  <c r="AA34" i="42"/>
  <c r="Z32" i="42"/>
  <c r="Z31" i="42" s="1"/>
  <c r="Y32" i="42"/>
  <c r="Y31" i="42" s="1"/>
  <c r="AA31" i="42"/>
  <c r="AA29" i="42"/>
  <c r="Z29" i="42" s="1"/>
  <c r="AA27" i="42"/>
  <c r="AA20" i="42"/>
  <c r="Y20" i="42" s="1"/>
  <c r="AA19" i="42"/>
  <c r="Z19" i="42" s="1"/>
  <c r="AA17" i="42"/>
  <c r="Y15" i="42"/>
  <c r="Y14" i="42" s="1"/>
  <c r="X20" i="42"/>
  <c r="W20" i="42" s="1"/>
  <c r="X19" i="42"/>
  <c r="W19" i="42"/>
  <c r="V19" i="42"/>
  <c r="X17" i="42"/>
  <c r="W12" i="42"/>
  <c r="W11" i="42"/>
  <c r="V11" i="42"/>
  <c r="T35" i="42"/>
  <c r="T34" i="42" s="1"/>
  <c r="S35" i="42"/>
  <c r="S34" i="42" s="1"/>
  <c r="U17" i="42"/>
  <c r="T15" i="42"/>
  <c r="T14" i="42" s="1"/>
  <c r="S15" i="42"/>
  <c r="S14" i="42" s="1"/>
  <c r="U14" i="42"/>
  <c r="I21" i="48" s="1"/>
  <c r="R17" i="42"/>
  <c r="Q15" i="42"/>
  <c r="Q14" i="42" s="1"/>
  <c r="P15" i="42"/>
  <c r="P14" i="42" s="1"/>
  <c r="R14" i="42"/>
  <c r="H21" i="48" s="1"/>
  <c r="Q12" i="42"/>
  <c r="P12" i="42"/>
  <c r="Q11" i="42"/>
  <c r="P11" i="42"/>
  <c r="N35" i="42"/>
  <c r="N34" i="42" s="1"/>
  <c r="O8" i="42"/>
  <c r="K35" i="42"/>
  <c r="J35" i="42"/>
  <c r="L34" i="42"/>
  <c r="K34" i="42"/>
  <c r="J34" i="42"/>
  <c r="AD31" i="42" l="1"/>
  <c r="S10" i="42"/>
  <c r="S8" i="42" s="1"/>
  <c r="L31" i="42"/>
  <c r="T10" i="42"/>
  <c r="T8" i="42" s="1"/>
  <c r="T13" i="42" s="1"/>
  <c r="K32" i="42"/>
  <c r="K31" i="42" s="1"/>
  <c r="W28" i="42"/>
  <c r="AL10" i="42"/>
  <c r="AL8" i="42" s="1"/>
  <c r="M10" i="42"/>
  <c r="M8" i="42" s="1"/>
  <c r="U31" i="42"/>
  <c r="P32" i="42"/>
  <c r="P31" i="42" s="1"/>
  <c r="S32" i="42"/>
  <c r="S31" i="42" s="1"/>
  <c r="X31" i="42"/>
  <c r="AL11" i="42"/>
  <c r="R31" i="42"/>
  <c r="X30" i="42"/>
  <c r="W30" i="42" s="1"/>
  <c r="J11" i="42"/>
  <c r="O29" i="42"/>
  <c r="N29" i="42" s="1"/>
  <c r="V32" i="42"/>
  <c r="V31" i="42" s="1"/>
  <c r="AM14" i="42"/>
  <c r="O21" i="48" s="1"/>
  <c r="AK15" i="42"/>
  <c r="AK14" i="42" s="1"/>
  <c r="T30" i="42"/>
  <c r="S30" i="42"/>
  <c r="AI32" i="42"/>
  <c r="AI31" i="42" s="1"/>
  <c r="N15" i="42"/>
  <c r="N14" i="42" s="1"/>
  <c r="AG8" i="42"/>
  <c r="AG13" i="42" s="1"/>
  <c r="M15" i="42"/>
  <c r="M14" i="42" s="1"/>
  <c r="O17" i="42"/>
  <c r="AA14" i="42"/>
  <c r="K21" i="48" s="1"/>
  <c r="M30" i="42"/>
  <c r="Q35" i="42"/>
  <c r="Q34" i="42" s="1"/>
  <c r="Z20" i="42"/>
  <c r="AP17" i="42"/>
  <c r="X34" i="42"/>
  <c r="M21" i="48"/>
  <c r="O31" i="42"/>
  <c r="W35" i="42"/>
  <c r="W34" i="42" s="1"/>
  <c r="S11" i="42"/>
  <c r="U29" i="42"/>
  <c r="T29" i="42" s="1"/>
  <c r="Z10" i="42"/>
  <c r="Z8" i="42" s="1"/>
  <c r="S13" i="42"/>
  <c r="U24" i="42"/>
  <c r="R24" i="42"/>
  <c r="Z28" i="42"/>
  <c r="J15" i="42"/>
  <c r="J14" i="42" s="1"/>
  <c r="N32" i="42"/>
  <c r="N31" i="42" s="1"/>
  <c r="R26" i="42"/>
  <c r="V20" i="42"/>
  <c r="Y11" i="42"/>
  <c r="AD34" i="42"/>
  <c r="AP24" i="42"/>
  <c r="P35" i="42"/>
  <c r="P34" i="42" s="1"/>
  <c r="K15" i="42"/>
  <c r="K14" i="42" s="1"/>
  <c r="K13" i="42" s="1"/>
  <c r="L17" i="42"/>
  <c r="O34" i="42"/>
  <c r="AB35" i="42"/>
  <c r="AB34" i="42" s="1"/>
  <c r="AJ31" i="42"/>
  <c r="AM17" i="42"/>
  <c r="U13" i="42"/>
  <c r="AB10" i="42"/>
  <c r="AB8" i="42" s="1"/>
  <c r="AD8" i="42"/>
  <c r="AB11" i="42"/>
  <c r="AO28" i="42"/>
  <c r="AO11" i="42"/>
  <c r="AO13" i="42" s="1"/>
  <c r="AL35" i="42"/>
  <c r="AL34" i="42" s="1"/>
  <c r="AK35" i="42"/>
  <c r="AK34" i="42" s="1"/>
  <c r="AL32" i="42"/>
  <c r="AL31" i="42" s="1"/>
  <c r="AJ29" i="42"/>
  <c r="AI29" i="42" s="1"/>
  <c r="AI28" i="42" s="1"/>
  <c r="AH11" i="42"/>
  <c r="AI13" i="42"/>
  <c r="AF15" i="42"/>
  <c r="AF14" i="42" s="1"/>
  <c r="AF13" i="42"/>
  <c r="AD24" i="42"/>
  <c r="AD29" i="42"/>
  <c r="AC29" i="42" s="1"/>
  <c r="AC28" i="42" s="1"/>
  <c r="AC20" i="42"/>
  <c r="AB20" i="42"/>
  <c r="AD17" i="42"/>
  <c r="AD19" i="42"/>
  <c r="Y19" i="42"/>
  <c r="AA13" i="42"/>
  <c r="X14" i="42"/>
  <c r="J21" i="48" s="1"/>
  <c r="V15" i="42"/>
  <c r="V14" i="42" s="1"/>
  <c r="W13" i="42"/>
  <c r="X8" i="42"/>
  <c r="V10" i="42"/>
  <c r="V8" i="42" s="1"/>
  <c r="P27" i="42"/>
  <c r="Q10" i="42"/>
  <c r="Q8" i="42" s="1"/>
  <c r="Q13" i="42" s="1"/>
  <c r="R8" i="42"/>
  <c r="R13" i="42"/>
  <c r="P13" i="42"/>
  <c r="O13" i="42"/>
  <c r="N13" i="42"/>
  <c r="L26" i="42"/>
  <c r="K26" i="42" s="1"/>
  <c r="K25" i="42" s="1"/>
  <c r="AO27" i="42"/>
  <c r="AN27" i="42"/>
  <c r="AP14" i="42"/>
  <c r="P21" i="48" s="1"/>
  <c r="AP31" i="42"/>
  <c r="AP22" i="42" s="1"/>
  <c r="AP8" i="42"/>
  <c r="AN15" i="42"/>
  <c r="AN14" i="42" s="1"/>
  <c r="AN13" i="42" s="1"/>
  <c r="AP26" i="42"/>
  <c r="AN32" i="42"/>
  <c r="AN31" i="42" s="1"/>
  <c r="AN12" i="42"/>
  <c r="AN29" i="42"/>
  <c r="AN28" i="42" s="1"/>
  <c r="AL27" i="42"/>
  <c r="AK27" i="42"/>
  <c r="AL30" i="42"/>
  <c r="AK30" i="42"/>
  <c r="AL13" i="42"/>
  <c r="AM24" i="42"/>
  <c r="AM29" i="42"/>
  <c r="AM26" i="42"/>
  <c r="AK10" i="42"/>
  <c r="AK8" i="42" s="1"/>
  <c r="AK12" i="42"/>
  <c r="AI26" i="42"/>
  <c r="AI25" i="42" s="1"/>
  <c r="AH26" i="42"/>
  <c r="AJ24" i="42"/>
  <c r="AH30" i="42"/>
  <c r="AJ8" i="42"/>
  <c r="AJ13" i="42" s="1"/>
  <c r="AH10" i="42"/>
  <c r="AH8" i="42" s="1"/>
  <c r="AH27" i="42"/>
  <c r="AH12" i="42"/>
  <c r="AF27" i="42"/>
  <c r="AE27" i="42"/>
  <c r="AE29" i="42"/>
  <c r="AF29" i="42"/>
  <c r="AF28" i="42" s="1"/>
  <c r="AG24" i="42"/>
  <c r="AE30" i="42"/>
  <c r="AG19" i="42"/>
  <c r="AE15" i="42"/>
  <c r="AE14" i="42" s="1"/>
  <c r="AE13" i="42" s="1"/>
  <c r="AG26" i="42"/>
  <c r="AE32" i="42"/>
  <c r="AE31" i="42" s="1"/>
  <c r="AG20" i="42"/>
  <c r="AG34" i="42"/>
  <c r="AE35" i="42"/>
  <c r="AE34" i="42" s="1"/>
  <c r="AC26" i="42"/>
  <c r="AB26" i="42"/>
  <c r="AB30" i="42"/>
  <c r="AD27" i="42"/>
  <c r="Z27" i="42"/>
  <c r="Y27" i="42"/>
  <c r="Z13" i="42"/>
  <c r="AA24" i="42"/>
  <c r="Y30" i="42"/>
  <c r="AA26" i="42"/>
  <c r="Y10" i="42"/>
  <c r="Y8" i="42" s="1"/>
  <c r="Y12" i="42"/>
  <c r="Y29" i="42"/>
  <c r="V27" i="42"/>
  <c r="W27" i="42"/>
  <c r="X24" i="42"/>
  <c r="V30" i="42"/>
  <c r="X26" i="42"/>
  <c r="V12" i="42"/>
  <c r="V29" i="42"/>
  <c r="V28" i="42" s="1"/>
  <c r="T27" i="42"/>
  <c r="S27" i="42"/>
  <c r="U26" i="42"/>
  <c r="S12" i="42"/>
  <c r="Q30" i="42"/>
  <c r="P30" i="42"/>
  <c r="R29" i="42"/>
  <c r="N27" i="42"/>
  <c r="M27" i="42"/>
  <c r="N28" i="42"/>
  <c r="O24" i="42"/>
  <c r="O26" i="42"/>
  <c r="M11" i="42"/>
  <c r="M12" i="42"/>
  <c r="K30" i="42"/>
  <c r="J30" i="42"/>
  <c r="L29" i="42"/>
  <c r="L24" i="42"/>
  <c r="L22" i="42" s="1"/>
  <c r="L8" i="42"/>
  <c r="J10" i="42"/>
  <c r="J8" i="42" s="1"/>
  <c r="J27" i="42"/>
  <c r="U23" i="42" l="1"/>
  <c r="Y13" i="42"/>
  <c r="J26" i="42"/>
  <c r="V13" i="42"/>
  <c r="R23" i="42"/>
  <c r="AM13" i="42"/>
  <c r="AK13" i="42"/>
  <c r="T28" i="42"/>
  <c r="U22" i="42"/>
  <c r="M29" i="42"/>
  <c r="M28" i="42" s="1"/>
  <c r="R22" i="42"/>
  <c r="J13" i="42"/>
  <c r="AH13" i="42"/>
  <c r="S29" i="42"/>
  <c r="S28" i="42" s="1"/>
  <c r="AD22" i="42"/>
  <c r="P26" i="42"/>
  <c r="P25" i="42" s="1"/>
  <c r="Q26" i="42"/>
  <c r="Q25" i="42" s="1"/>
  <c r="AI24" i="42"/>
  <c r="AI22" i="42" s="1"/>
  <c r="X13" i="42"/>
  <c r="M13" i="42"/>
  <c r="AB29" i="42"/>
  <c r="AB28" i="42" s="1"/>
  <c r="AP23" i="42"/>
  <c r="AP13" i="42"/>
  <c r="AH29" i="42"/>
  <c r="AH28" i="42" s="1"/>
  <c r="AC19" i="42"/>
  <c r="AB19" i="42"/>
  <c r="Y28" i="42"/>
  <c r="AO26" i="42"/>
  <c r="AO25" i="42" s="1"/>
  <c r="AO24" i="42" s="1"/>
  <c r="AN26" i="42"/>
  <c r="AN25" i="42" s="1"/>
  <c r="AN24" i="42" s="1"/>
  <c r="AL26" i="42"/>
  <c r="AL25" i="42" s="1"/>
  <c r="AK26" i="42"/>
  <c r="AK25" i="42" s="1"/>
  <c r="AL29" i="42"/>
  <c r="AL28" i="42" s="1"/>
  <c r="AK29" i="42"/>
  <c r="AK28" i="42" s="1"/>
  <c r="AM23" i="42"/>
  <c r="AM22" i="42"/>
  <c r="AJ23" i="42"/>
  <c r="AJ22" i="42"/>
  <c r="AH25" i="42"/>
  <c r="AH24" i="42" s="1"/>
  <c r="AF26" i="42"/>
  <c r="AF25" i="42" s="1"/>
  <c r="AF24" i="42" s="1"/>
  <c r="AE26" i="42"/>
  <c r="AE25" i="42" s="1"/>
  <c r="AF19" i="42"/>
  <c r="AE19" i="42"/>
  <c r="AG23" i="42"/>
  <c r="AG22" i="42"/>
  <c r="AE20" i="42"/>
  <c r="AF20" i="42"/>
  <c r="AE28" i="42"/>
  <c r="AC27" i="42"/>
  <c r="AC25" i="42" s="1"/>
  <c r="AC24" i="42" s="1"/>
  <c r="AB27" i="42"/>
  <c r="AB25" i="42"/>
  <c r="Z26" i="42"/>
  <c r="Z25" i="42" s="1"/>
  <c r="Z24" i="42" s="1"/>
  <c r="Y26" i="42"/>
  <c r="Y25" i="42" s="1"/>
  <c r="Y24" i="42" s="1"/>
  <c r="AA23" i="42"/>
  <c r="AA22" i="42"/>
  <c r="W26" i="42"/>
  <c r="W25" i="42" s="1"/>
  <c r="W24" i="42" s="1"/>
  <c r="V26" i="42"/>
  <c r="V25" i="42" s="1"/>
  <c r="V24" i="42" s="1"/>
  <c r="X23" i="42"/>
  <c r="X22" i="42"/>
  <c r="S26" i="42"/>
  <c r="S25" i="42" s="1"/>
  <c r="T26" i="42"/>
  <c r="T25" i="42" s="1"/>
  <c r="T24" i="42" s="1"/>
  <c r="P29" i="42"/>
  <c r="P28" i="42" s="1"/>
  <c r="Q29" i="42"/>
  <c r="Q28" i="42" s="1"/>
  <c r="N26" i="42"/>
  <c r="N25" i="42" s="1"/>
  <c r="N24" i="42" s="1"/>
  <c r="M26" i="42"/>
  <c r="M25" i="42" s="1"/>
  <c r="O23" i="42"/>
  <c r="O22" i="42"/>
  <c r="K29" i="42"/>
  <c r="K28" i="42" s="1"/>
  <c r="K24" i="42" s="1"/>
  <c r="K22" i="42" s="1"/>
  <c r="J29" i="42"/>
  <c r="J28" i="42" s="1"/>
  <c r="J25" i="42"/>
  <c r="AB24" i="42" l="1"/>
  <c r="Q24" i="42"/>
  <c r="Q22" i="42" s="1"/>
  <c r="P24" i="42"/>
  <c r="M24" i="42"/>
  <c r="AK24" i="42"/>
  <c r="AK22" i="42" s="1"/>
  <c r="S24" i="42"/>
  <c r="AL24" i="42"/>
  <c r="AN22" i="42"/>
  <c r="AO22" i="42"/>
  <c r="AH22" i="42"/>
  <c r="AE24" i="42"/>
  <c r="AF22" i="42"/>
  <c r="AC22" i="42"/>
  <c r="AB22" i="42"/>
  <c r="Y22" i="42"/>
  <c r="Z22" i="42"/>
  <c r="V22" i="42"/>
  <c r="W22" i="42"/>
  <c r="T22" i="42"/>
  <c r="P22" i="42"/>
  <c r="M22" i="42"/>
  <c r="N22" i="42"/>
  <c r="J24" i="42"/>
  <c r="J22" i="42" s="1"/>
  <c r="S22" i="42" l="1"/>
  <c r="AL22" i="42"/>
  <c r="AE22" i="42"/>
  <c r="I32" i="42" l="1"/>
  <c r="H32" i="42" s="1"/>
  <c r="H31" i="42" s="1"/>
  <c r="I28" i="42"/>
  <c r="I30" i="42" s="1"/>
  <c r="G30" i="42" s="1"/>
  <c r="E27" i="42"/>
  <c r="D27" i="42"/>
  <c r="E26" i="42"/>
  <c r="D26" i="42"/>
  <c r="I29" i="42" l="1"/>
  <c r="H29" i="42" s="1"/>
  <c r="I31" i="42"/>
  <c r="G32" i="42"/>
  <c r="G31" i="42" s="1"/>
  <c r="H30" i="42"/>
  <c r="G29" i="42" l="1"/>
  <c r="G28" i="42" s="1"/>
  <c r="H28" i="42"/>
  <c r="V52" i="41"/>
  <c r="W52" i="41"/>
  <c r="X52" i="41"/>
  <c r="Y52" i="41"/>
  <c r="Z52" i="41"/>
  <c r="AA52" i="41"/>
  <c r="AB52" i="41"/>
  <c r="AC52" i="41"/>
  <c r="AD52" i="41"/>
  <c r="AE52" i="41"/>
  <c r="AF52" i="41"/>
  <c r="AG52" i="41"/>
  <c r="V53" i="41"/>
  <c r="W53" i="41"/>
  <c r="X53" i="41"/>
  <c r="Y53" i="41"/>
  <c r="Z53" i="41"/>
  <c r="AA53" i="41"/>
  <c r="AB53" i="41"/>
  <c r="AC53" i="41"/>
  <c r="AD53" i="41"/>
  <c r="AE53" i="41"/>
  <c r="AF53" i="41"/>
  <c r="AG53" i="41"/>
  <c r="V54" i="41"/>
  <c r="W54" i="41"/>
  <c r="X54" i="41"/>
  <c r="Y54" i="41"/>
  <c r="Z54" i="41"/>
  <c r="AA54" i="41"/>
  <c r="AB54" i="41"/>
  <c r="AC54" i="41"/>
  <c r="AD54" i="41"/>
  <c r="AE54" i="41"/>
  <c r="AF54" i="41"/>
  <c r="AG54" i="41"/>
  <c r="V55" i="41"/>
  <c r="W55" i="41"/>
  <c r="X55" i="41"/>
  <c r="X21" i="42" s="1"/>
  <c r="Y55" i="41"/>
  <c r="Z55" i="41"/>
  <c r="AA55" i="41"/>
  <c r="AA21" i="42" s="1"/>
  <c r="AB55" i="41"/>
  <c r="AC55" i="41"/>
  <c r="AD55" i="41"/>
  <c r="AD21" i="42" s="1"/>
  <c r="AE55" i="41"/>
  <c r="AF55" i="41"/>
  <c r="AG55" i="41"/>
  <c r="AG21" i="42" s="1"/>
  <c r="F25" i="42"/>
  <c r="E25" i="42"/>
  <c r="D25" i="42"/>
  <c r="Y21" i="42" l="1"/>
  <c r="Y18" i="42" s="1"/>
  <c r="Y17" i="42" s="1"/>
  <c r="Y23" i="42" s="1"/>
  <c r="Z21" i="42"/>
  <c r="Z18" i="42" s="1"/>
  <c r="Z17" i="42" s="1"/>
  <c r="Z23" i="42" s="1"/>
  <c r="AB21" i="42"/>
  <c r="AB18" i="42" s="1"/>
  <c r="AB17" i="42" s="1"/>
  <c r="AC21" i="42"/>
  <c r="AC18" i="42" s="1"/>
  <c r="AC17" i="42" s="1"/>
  <c r="V21" i="42"/>
  <c r="V18" i="42" s="1"/>
  <c r="V17" i="42" s="1"/>
  <c r="V23" i="42" s="1"/>
  <c r="W21" i="42"/>
  <c r="W18" i="42" s="1"/>
  <c r="W17" i="42" s="1"/>
  <c r="W23" i="42" s="1"/>
  <c r="AF21" i="42"/>
  <c r="AF18" i="42" s="1"/>
  <c r="AF17" i="42" s="1"/>
  <c r="AF23" i="42" s="1"/>
  <c r="AE21" i="42"/>
  <c r="AE18" i="42" s="1"/>
  <c r="AE17" i="42" s="1"/>
  <c r="AE23" i="42" s="1"/>
  <c r="I15" i="42"/>
  <c r="G15" i="42" l="1"/>
  <c r="G14" i="42" s="1"/>
  <c r="I14" i="42"/>
  <c r="E21" i="48" s="1"/>
  <c r="H15" i="42"/>
  <c r="H14" i="42" s="1"/>
  <c r="I12" i="42" l="1"/>
  <c r="G12" i="42" l="1"/>
  <c r="H12" i="42"/>
  <c r="L12" i="42" l="1"/>
  <c r="K12" i="42" l="1"/>
  <c r="J12" i="42"/>
  <c r="L13" i="42"/>
  <c r="L23" i="42"/>
  <c r="I11" i="42" l="1"/>
  <c r="H11" i="42" l="1"/>
  <c r="G11" i="42"/>
  <c r="AD12" i="42" l="1"/>
  <c r="AC12" i="42" l="1"/>
  <c r="AB12" i="42"/>
  <c r="I35" i="42" l="1"/>
  <c r="H35" i="42" l="1"/>
  <c r="H34" i="42" s="1"/>
  <c r="G35" i="42"/>
  <c r="G34" i="42" s="1"/>
  <c r="I34" i="42"/>
  <c r="F32" i="42"/>
  <c r="F35" i="42"/>
  <c r="E35" i="42" l="1"/>
  <c r="E34" i="42" s="1"/>
  <c r="D35" i="42"/>
  <c r="D34" i="42" s="1"/>
  <c r="F34" i="42"/>
  <c r="E32" i="42"/>
  <c r="E31" i="42" s="1"/>
  <c r="D32" i="42"/>
  <c r="D31" i="42" s="1"/>
  <c r="F31" i="42"/>
  <c r="F28" i="42" l="1"/>
  <c r="F30" i="42" l="1"/>
  <c r="F29" i="42"/>
  <c r="F24" i="42"/>
  <c r="F22" i="42" l="1"/>
  <c r="D29" i="42"/>
  <c r="E29" i="42"/>
  <c r="D30" i="42"/>
  <c r="E30" i="42"/>
  <c r="D28" i="42" l="1"/>
  <c r="D24" i="42" s="1"/>
  <c r="E28" i="42"/>
  <c r="E24" i="42" s="1"/>
  <c r="E22" i="42" l="1"/>
  <c r="D22" i="42"/>
  <c r="AD15" i="42" l="1"/>
  <c r="AB15" i="42" l="1"/>
  <c r="AB14" i="42" s="1"/>
  <c r="AC15" i="42"/>
  <c r="AC14" i="42" s="1"/>
  <c r="AD14" i="42"/>
  <c r="L21" i="48" s="1"/>
  <c r="AD13" i="42" l="1"/>
  <c r="AD23" i="42"/>
  <c r="AC13" i="42"/>
  <c r="AC23" i="42"/>
  <c r="AB13" i="42"/>
  <c r="AB23" i="42"/>
  <c r="I18" i="42" l="1"/>
  <c r="I17" i="42" l="1"/>
  <c r="F18" i="42" l="1"/>
  <c r="F17" i="42" l="1"/>
  <c r="I25" i="42" l="1"/>
  <c r="I24" i="42" l="1"/>
  <c r="I27" i="42"/>
  <c r="I26" i="42"/>
  <c r="I22" i="42" l="1"/>
  <c r="G26" i="42"/>
  <c r="H26" i="42"/>
  <c r="H27" i="42"/>
  <c r="G27" i="42"/>
  <c r="G25" i="42" l="1"/>
  <c r="G24" i="42" s="1"/>
  <c r="H25" i="42"/>
  <c r="H24" i="42" s="1"/>
  <c r="H22" i="42" l="1"/>
  <c r="G22" i="42"/>
  <c r="I10" i="42" l="1"/>
  <c r="G10" i="42" l="1"/>
  <c r="G8" i="42" s="1"/>
  <c r="I8" i="42"/>
  <c r="I23" i="42" s="1"/>
  <c r="H10" i="42"/>
  <c r="H8" i="42" s="1"/>
  <c r="H13" i="42" l="1"/>
  <c r="G13" i="42"/>
  <c r="I13" i="42"/>
  <c r="F10" i="42" l="1"/>
  <c r="F8" i="42" l="1"/>
  <c r="E10" i="42"/>
  <c r="E8" i="42" s="1"/>
  <c r="D10" i="42"/>
  <c r="D8" i="42" s="1"/>
  <c r="F15" i="42" l="1"/>
  <c r="D15" i="42" l="1"/>
  <c r="D14" i="42" s="1"/>
  <c r="E15" i="42"/>
  <c r="E14" i="42" s="1"/>
  <c r="F14" i="42"/>
  <c r="D21" i="48" s="1"/>
  <c r="E13" i="42" l="1"/>
  <c r="F13" i="42"/>
  <c r="F23" i="42"/>
  <c r="D13" i="42"/>
  <c r="E19" i="47" l="1"/>
  <c r="F19" i="47"/>
  <c r="G19" i="47"/>
  <c r="H19" i="47"/>
  <c r="I19" i="47"/>
  <c r="J19" i="47"/>
  <c r="K19" i="47"/>
  <c r="L19" i="47"/>
  <c r="M19" i="47"/>
  <c r="N19" i="47"/>
  <c r="O19" i="47"/>
  <c r="P19" i="47"/>
  <c r="D19" i="47"/>
  <c r="F19" i="48"/>
  <c r="G19" i="48"/>
  <c r="H19" i="48"/>
  <c r="I19" i="48"/>
  <c r="J19" i="48"/>
  <c r="K19" i="48"/>
  <c r="L19" i="48"/>
  <c r="M19" i="48"/>
  <c r="N19" i="48"/>
  <c r="O19" i="48"/>
  <c r="P19" i="48"/>
  <c r="E19" i="48"/>
  <c r="AN21" i="41" l="1"/>
  <c r="AN20" i="41"/>
  <c r="AK19" i="41"/>
  <c r="AN19" i="41"/>
  <c r="AP34" i="41"/>
  <c r="AO36" i="41" s="1"/>
  <c r="AP31" i="41"/>
  <c r="AP24" i="41"/>
  <c r="AN14" i="41"/>
  <c r="AN15" i="41" s="1"/>
  <c r="AN13" i="41"/>
  <c r="AO13" i="41" s="1"/>
  <c r="AN12" i="41"/>
  <c r="AN10" i="41"/>
  <c r="AN9" i="41"/>
  <c r="AN8" i="41" s="1"/>
  <c r="AO33" i="41"/>
  <c r="AN26" i="41"/>
  <c r="AO30" i="41"/>
  <c r="AP16" i="41"/>
  <c r="AN11" i="41"/>
  <c r="AO11" i="41" s="1"/>
  <c r="AP11" i="41" s="1"/>
  <c r="AK21" i="41"/>
  <c r="AK20" i="41"/>
  <c r="AM34" i="41"/>
  <c r="AL36" i="41" s="1"/>
  <c r="AM31" i="41"/>
  <c r="AL33" i="41" s="1"/>
  <c r="AM24" i="41"/>
  <c r="AL29" i="41" s="1"/>
  <c r="AK14" i="41"/>
  <c r="AK15" i="41" s="1"/>
  <c r="AK13" i="41"/>
  <c r="AK12" i="41"/>
  <c r="AL12" i="41" s="1"/>
  <c r="AK11" i="41"/>
  <c r="AL11" i="41" s="1"/>
  <c r="AM11" i="41" s="1"/>
  <c r="AK10" i="41"/>
  <c r="AL10" i="41" s="1"/>
  <c r="AM10" i="41" s="1"/>
  <c r="AK9" i="41"/>
  <c r="AM16" i="41"/>
  <c r="AH21" i="41"/>
  <c r="AH20" i="41"/>
  <c r="AH19" i="41"/>
  <c r="AJ34" i="41"/>
  <c r="AI36" i="41" s="1"/>
  <c r="AJ31" i="41"/>
  <c r="AJ24" i="41"/>
  <c r="AI27" i="41" s="1"/>
  <c r="AH14" i="41"/>
  <c r="AH15" i="41" s="1"/>
  <c r="AI15" i="41" s="1"/>
  <c r="AI14" i="41" s="1"/>
  <c r="AH13" i="41"/>
  <c r="AH12" i="41"/>
  <c r="AH11" i="41"/>
  <c r="AH10" i="41"/>
  <c r="AH9" i="41"/>
  <c r="AJ16" i="41"/>
  <c r="AI13" i="41"/>
  <c r="AI9" i="41"/>
  <c r="AE9" i="41"/>
  <c r="AE21" i="41"/>
  <c r="AE10" i="41"/>
  <c r="AE11" i="41"/>
  <c r="AE12" i="41"/>
  <c r="AE13" i="41"/>
  <c r="AE14" i="41"/>
  <c r="AE19" i="41"/>
  <c r="AE20" i="41"/>
  <c r="AG24" i="41"/>
  <c r="AG31" i="41"/>
  <c r="AG34" i="41"/>
  <c r="AO19" i="41" l="1"/>
  <c r="AP23" i="41"/>
  <c r="AL27" i="41"/>
  <c r="AO12" i="41"/>
  <c r="AP12" i="41" s="1"/>
  <c r="AL32" i="41"/>
  <c r="AL31" i="41" s="1"/>
  <c r="AK33" i="41"/>
  <c r="AM23" i="41"/>
  <c r="AK27" i="41"/>
  <c r="AM27" i="41" s="1"/>
  <c r="AN18" i="41"/>
  <c r="AN52" i="41" s="1"/>
  <c r="AO20" i="41"/>
  <c r="AN36" i="41"/>
  <c r="AP36" i="41" s="1"/>
  <c r="AN17" i="41"/>
  <c r="AO26" i="41"/>
  <c r="AP26" i="41" s="1"/>
  <c r="AO15" i="41"/>
  <c r="AO14" i="41" s="1"/>
  <c r="AO17" i="41" s="1"/>
  <c r="AO21" i="41"/>
  <c r="AN32" i="41"/>
  <c r="AO10" i="41"/>
  <c r="AP10" i="41" s="1"/>
  <c r="AN27" i="41"/>
  <c r="AO32" i="41"/>
  <c r="AO31" i="41" s="1"/>
  <c r="AO27" i="41"/>
  <c r="AN33" i="41"/>
  <c r="AP33" i="41" s="1"/>
  <c r="AN29" i="41"/>
  <c r="AO9" i="41"/>
  <c r="AP9" i="41" s="1"/>
  <c r="AO29" i="41"/>
  <c r="AO28" i="41" s="1"/>
  <c r="AN35" i="41"/>
  <c r="AN30" i="41"/>
  <c r="AP30" i="41" s="1"/>
  <c r="AO35" i="41"/>
  <c r="AO34" i="41" s="1"/>
  <c r="AK18" i="41"/>
  <c r="AK52" i="41" s="1"/>
  <c r="AM33" i="41"/>
  <c r="AK29" i="41"/>
  <c r="AM29" i="41" s="1"/>
  <c r="AK17" i="41"/>
  <c r="AL13" i="41"/>
  <c r="AK8" i="41"/>
  <c r="AL15" i="41"/>
  <c r="AL14" i="41" s="1"/>
  <c r="AM12" i="41"/>
  <c r="AK35" i="41"/>
  <c r="AL19" i="41"/>
  <c r="AK30" i="41"/>
  <c r="AL35" i="41"/>
  <c r="AL34" i="41" s="1"/>
  <c r="AL30" i="41"/>
  <c r="AL28" i="41" s="1"/>
  <c r="AK36" i="41"/>
  <c r="AM36" i="41" s="1"/>
  <c r="AL20" i="41"/>
  <c r="AL9" i="41"/>
  <c r="AL8" i="41" s="1"/>
  <c r="AK26" i="41"/>
  <c r="AL21" i="41"/>
  <c r="AK32" i="41"/>
  <c r="AL26" i="41"/>
  <c r="AH18" i="41"/>
  <c r="AH52" i="41" s="1"/>
  <c r="AH26" i="41"/>
  <c r="AH27" i="41"/>
  <c r="AJ27" i="41" s="1"/>
  <c r="AH29" i="41"/>
  <c r="AI29" i="41"/>
  <c r="AI26" i="41"/>
  <c r="AI25" i="41" s="1"/>
  <c r="AJ23" i="41"/>
  <c r="AI17" i="41"/>
  <c r="AJ9" i="41"/>
  <c r="AI21" i="41"/>
  <c r="AJ21" i="41" s="1"/>
  <c r="AJ15" i="41"/>
  <c r="AJ14" i="41" s="1"/>
  <c r="AI33" i="41"/>
  <c r="AH32" i="41"/>
  <c r="AI32" i="41"/>
  <c r="AH17" i="41"/>
  <c r="AH33" i="41"/>
  <c r="AI11" i="41"/>
  <c r="AJ11" i="41" s="1"/>
  <c r="AI12" i="41"/>
  <c r="AJ12" i="41" s="1"/>
  <c r="AH8" i="41"/>
  <c r="AH36" i="41"/>
  <c r="AJ36" i="41" s="1"/>
  <c r="AH35" i="41"/>
  <c r="AI19" i="41"/>
  <c r="AI35" i="41"/>
  <c r="AI34" i="41" s="1"/>
  <c r="AI20" i="41"/>
  <c r="AI10" i="41"/>
  <c r="AI8" i="41" s="1"/>
  <c r="AH30" i="41"/>
  <c r="AI30" i="41"/>
  <c r="AI28" i="41" s="1"/>
  <c r="AI24" i="41" s="1"/>
  <c r="AK55" i="41" l="1"/>
  <c r="AL25" i="41"/>
  <c r="AK53" i="41"/>
  <c r="AN53" i="41"/>
  <c r="AN55" i="41"/>
  <c r="AN54" i="41"/>
  <c r="AK54" i="41"/>
  <c r="AJ20" i="41"/>
  <c r="AH54" i="41"/>
  <c r="AP21" i="41"/>
  <c r="AM21" i="41"/>
  <c r="AM20" i="41"/>
  <c r="AL54" i="41"/>
  <c r="AP19" i="41"/>
  <c r="AO53" i="41"/>
  <c r="AP20" i="41"/>
  <c r="AH55" i="41"/>
  <c r="AH53" i="41"/>
  <c r="AJ26" i="41"/>
  <c r="AH25" i="41"/>
  <c r="AP8" i="41"/>
  <c r="AP13" i="41" s="1"/>
  <c r="AJ29" i="41"/>
  <c r="AN22" i="41"/>
  <c r="AO18" i="41"/>
  <c r="AO55" i="41" s="1"/>
  <c r="AO25" i="41"/>
  <c r="AO24" i="41" s="1"/>
  <c r="AO23" i="41" s="1"/>
  <c r="AP27" i="41"/>
  <c r="AP15" i="41"/>
  <c r="AP14" i="41" s="1"/>
  <c r="AN31" i="41"/>
  <c r="AP32" i="41"/>
  <c r="AP35" i="41"/>
  <c r="AN34" i="41"/>
  <c r="AO8" i="41"/>
  <c r="AN25" i="41"/>
  <c r="AP29" i="41"/>
  <c r="AN28" i="41"/>
  <c r="AP28" i="41" s="1"/>
  <c r="AK22" i="41"/>
  <c r="AL17" i="41"/>
  <c r="AK34" i="41"/>
  <c r="AM35" i="41"/>
  <c r="AL18" i="41"/>
  <c r="AL52" i="41" s="1"/>
  <c r="AK28" i="41"/>
  <c r="AM28" i="41" s="1"/>
  <c r="AM30" i="41"/>
  <c r="AM9" i="41"/>
  <c r="AM8" i="41" s="1"/>
  <c r="AM13" i="41" s="1"/>
  <c r="AM32" i="41"/>
  <c r="AK31" i="41"/>
  <c r="AM19" i="41"/>
  <c r="AL24" i="41"/>
  <c r="AL23" i="41" s="1"/>
  <c r="AM26" i="41"/>
  <c r="AK25" i="41"/>
  <c r="AM15" i="41"/>
  <c r="AM14" i="41" s="1"/>
  <c r="AH22" i="41"/>
  <c r="AJ35" i="41"/>
  <c r="AH34" i="41"/>
  <c r="AJ32" i="41"/>
  <c r="AH31" i="41"/>
  <c r="AH28" i="41"/>
  <c r="AJ28" i="41" s="1"/>
  <c r="AJ30" i="41"/>
  <c r="AI18" i="41"/>
  <c r="AJ25" i="41"/>
  <c r="AH24" i="41"/>
  <c r="AJ10" i="41"/>
  <c r="AJ8" i="41"/>
  <c r="AJ13" i="41" s="1"/>
  <c r="AJ17" i="41" s="1"/>
  <c r="AJ33" i="41"/>
  <c r="AJ19" i="41"/>
  <c r="AI31" i="41"/>
  <c r="AI23" i="41" s="1"/>
  <c r="AL53" i="41" l="1"/>
  <c r="AM18" i="41"/>
  <c r="AM52" i="41" s="1"/>
  <c r="AI22" i="41"/>
  <c r="AI52" i="41"/>
  <c r="AL55" i="41"/>
  <c r="AP18" i="41"/>
  <c r="AP52" i="41" s="1"/>
  <c r="AJ18" i="41"/>
  <c r="AJ53" i="41"/>
  <c r="AJ19" i="42" s="1"/>
  <c r="AO22" i="41"/>
  <c r="AO52" i="41"/>
  <c r="AP55" i="41"/>
  <c r="AP21" i="42" s="1"/>
  <c r="AI54" i="41"/>
  <c r="AI55" i="41"/>
  <c r="AO54" i="41"/>
  <c r="AI53" i="41"/>
  <c r="AP17" i="41"/>
  <c r="AP25" i="41"/>
  <c r="AN24" i="41"/>
  <c r="AN23" i="41" s="1"/>
  <c r="AL22" i="41"/>
  <c r="AK24" i="41"/>
  <c r="AK23" i="41" s="1"/>
  <c r="AM25" i="41"/>
  <c r="AM17" i="41"/>
  <c r="AH23" i="41"/>
  <c r="AJ22" i="41"/>
  <c r="AO21" i="42" l="1"/>
  <c r="AN21" i="42"/>
  <c r="AI19" i="42"/>
  <c r="AH19" i="42"/>
  <c r="AM55" i="41"/>
  <c r="AM21" i="42" s="1"/>
  <c r="AM22" i="41"/>
  <c r="AJ52" i="41"/>
  <c r="AJ55" i="41"/>
  <c r="AJ21" i="42" s="1"/>
  <c r="AJ54" i="41"/>
  <c r="AJ20" i="42" s="1"/>
  <c r="AP54" i="41"/>
  <c r="AP20" i="42" s="1"/>
  <c r="AM54" i="41"/>
  <c r="AM20" i="42" s="1"/>
  <c r="AP22" i="41"/>
  <c r="AP53" i="41"/>
  <c r="AP19" i="42" s="1"/>
  <c r="AM53" i="41"/>
  <c r="AM19" i="42" s="1"/>
  <c r="AF19" i="41"/>
  <c r="AE36" i="41"/>
  <c r="AG23" i="41"/>
  <c r="AF29" i="41"/>
  <c r="AE29" i="41"/>
  <c r="AG29" i="41" s="1"/>
  <c r="AF27" i="41"/>
  <c r="AE27" i="41"/>
  <c r="AG27" i="41" s="1"/>
  <c r="AF26" i="41"/>
  <c r="AF25" i="41" s="1"/>
  <c r="AE26" i="41"/>
  <c r="AE17" i="41"/>
  <c r="AG16" i="41"/>
  <c r="AE15" i="41"/>
  <c r="AF13" i="41"/>
  <c r="AF11" i="41"/>
  <c r="AE8" i="41"/>
  <c r="AF9" i="41"/>
  <c r="AB21" i="41"/>
  <c r="AB20" i="41"/>
  <c r="AB19" i="41"/>
  <c r="AD34" i="41"/>
  <c r="AD31" i="41"/>
  <c r="AD24" i="41"/>
  <c r="AB14" i="41"/>
  <c r="AB15" i="41" s="1"/>
  <c r="AB13" i="41"/>
  <c r="AC13" i="41" s="1"/>
  <c r="AB12" i="41"/>
  <c r="AB11" i="41"/>
  <c r="AB10" i="41"/>
  <c r="AB9" i="41"/>
  <c r="AC9" i="41" s="1"/>
  <c r="AC36" i="41"/>
  <c r="AD23" i="41"/>
  <c r="AC29" i="41"/>
  <c r="AB29" i="41"/>
  <c r="AD29" i="41" s="1"/>
  <c r="AD16" i="41"/>
  <c r="AA34" i="41"/>
  <c r="Z36" i="41" s="1"/>
  <c r="AA31" i="41"/>
  <c r="Y33" i="41" s="1"/>
  <c r="AA24" i="41"/>
  <c r="Y14" i="41"/>
  <c r="Y15" i="41" s="1"/>
  <c r="Y13" i="41"/>
  <c r="Y17" i="41" s="1"/>
  <c r="Y12" i="41"/>
  <c r="Z12" i="41" s="1"/>
  <c r="Y11" i="41"/>
  <c r="Y10" i="41"/>
  <c r="Y9" i="41"/>
  <c r="Z9" i="41" s="1"/>
  <c r="Y21" i="41"/>
  <c r="Y20" i="41"/>
  <c r="Y19" i="41"/>
  <c r="Z19" i="41" s="1"/>
  <c r="AA16" i="41"/>
  <c r="Y8" i="41"/>
  <c r="V21" i="41"/>
  <c r="V19" i="41"/>
  <c r="V20" i="41"/>
  <c r="AI20" i="42" l="1"/>
  <c r="AH20" i="42"/>
  <c r="AL19" i="42"/>
  <c r="AK19" i="42"/>
  <c r="AN20" i="42"/>
  <c r="AO20" i="42"/>
  <c r="AO18" i="42" s="1"/>
  <c r="AO17" i="42" s="1"/>
  <c r="AO23" i="42" s="1"/>
  <c r="AO19" i="42"/>
  <c r="AN19" i="42"/>
  <c r="AL20" i="42"/>
  <c r="AK20" i="42"/>
  <c r="AH21" i="42"/>
  <c r="AI21" i="42"/>
  <c r="AK21" i="42"/>
  <c r="AL21" i="42"/>
  <c r="AH18" i="42"/>
  <c r="AH17" i="42" s="1"/>
  <c r="AH23" i="42" s="1"/>
  <c r="AI18" i="42"/>
  <c r="AI17" i="42" s="1"/>
  <c r="AI23" i="42" s="1"/>
  <c r="AA23" i="41"/>
  <c r="AB18" i="41"/>
  <c r="Y26" i="41"/>
  <c r="Z26" i="41"/>
  <c r="AB26" i="41"/>
  <c r="AC26" i="41"/>
  <c r="AB27" i="41"/>
  <c r="Z29" i="41"/>
  <c r="AC27" i="41"/>
  <c r="AE18" i="41"/>
  <c r="AE22" i="41" s="1"/>
  <c r="AE25" i="41"/>
  <c r="AG26" i="41"/>
  <c r="AG9" i="41"/>
  <c r="AE33" i="41"/>
  <c r="AG11" i="41"/>
  <c r="AF32" i="41"/>
  <c r="AF10" i="41"/>
  <c r="AF8" i="41" s="1"/>
  <c r="AF15" i="41"/>
  <c r="AF14" i="41" s="1"/>
  <c r="AF17" i="41" s="1"/>
  <c r="AE32" i="41"/>
  <c r="AF33" i="41"/>
  <c r="AF12" i="41"/>
  <c r="AG12" i="41" s="1"/>
  <c r="AE30" i="41"/>
  <c r="AF35" i="41"/>
  <c r="AG19" i="41"/>
  <c r="AF30" i="41"/>
  <c r="AF28" i="41" s="1"/>
  <c r="AF24" i="41" s="1"/>
  <c r="AF20" i="41"/>
  <c r="AF36" i="41"/>
  <c r="AG36" i="41" s="1"/>
  <c r="AF21" i="41"/>
  <c r="AG21" i="41" s="1"/>
  <c r="AE35" i="41"/>
  <c r="AB17" i="41"/>
  <c r="AB22" i="41" s="1"/>
  <c r="AB25" i="41"/>
  <c r="AD26" i="41"/>
  <c r="AD9" i="41"/>
  <c r="AC32" i="41"/>
  <c r="AB33" i="41"/>
  <c r="AC15" i="41"/>
  <c r="AC14" i="41" s="1"/>
  <c r="AC17" i="41" s="1"/>
  <c r="AB32" i="41"/>
  <c r="AC10" i="41"/>
  <c r="AC8" i="41" s="1"/>
  <c r="AC11" i="41"/>
  <c r="AD11" i="41" s="1"/>
  <c r="AC33" i="41"/>
  <c r="AB8" i="41"/>
  <c r="AB30" i="41"/>
  <c r="AB36" i="41"/>
  <c r="AD36" i="41" s="1"/>
  <c r="AC21" i="41"/>
  <c r="AD21" i="41" s="1"/>
  <c r="AC12" i="41"/>
  <c r="AD12" i="41" s="1"/>
  <c r="AB35" i="41"/>
  <c r="AC19" i="41"/>
  <c r="AC35" i="41"/>
  <c r="AC34" i="41" s="1"/>
  <c r="AC30" i="41"/>
  <c r="AC28" i="41" s="1"/>
  <c r="AC20" i="41"/>
  <c r="AD20" i="41" s="1"/>
  <c r="Y27" i="41"/>
  <c r="Z27" i="41"/>
  <c r="Z25" i="41" s="1"/>
  <c r="Y29" i="41"/>
  <c r="Z13" i="41"/>
  <c r="AA26" i="41"/>
  <c r="AA9" i="41"/>
  <c r="AA21" i="41"/>
  <c r="AA11" i="41"/>
  <c r="AA33" i="41"/>
  <c r="AA12" i="41"/>
  <c r="AA19" i="41"/>
  <c r="Z30" i="41"/>
  <c r="Z28" i="41" s="1"/>
  <c r="Z15" i="41"/>
  <c r="Z14" i="41" s="1"/>
  <c r="Z10" i="41"/>
  <c r="Z8" i="41" s="1"/>
  <c r="Z32" i="41"/>
  <c r="Y18" i="41"/>
  <c r="Y22" i="41" s="1"/>
  <c r="Y36" i="41"/>
  <c r="AA36" i="41" s="1"/>
  <c r="Z21" i="41"/>
  <c r="Z11" i="41"/>
  <c r="Z33" i="41"/>
  <c r="Y32" i="41"/>
  <c r="Y35" i="41"/>
  <c r="Y30" i="41"/>
  <c r="Z35" i="41"/>
  <c r="Z34" i="41" s="1"/>
  <c r="Z20" i="41"/>
  <c r="AA20" i="41" s="1"/>
  <c r="AN18" i="42" l="1"/>
  <c r="AN17" i="42" s="1"/>
  <c r="AN23" i="42" s="1"/>
  <c r="AK18" i="42"/>
  <c r="AK17" i="42" s="1"/>
  <c r="AK23" i="42" s="1"/>
  <c r="AL18" i="42"/>
  <c r="AL17" i="42" s="1"/>
  <c r="AL23" i="42" s="1"/>
  <c r="AC25" i="41"/>
  <c r="AD27" i="41"/>
  <c r="AA29" i="41"/>
  <c r="AA10" i="41"/>
  <c r="AC24" i="41"/>
  <c r="AG33" i="41"/>
  <c r="AF18" i="41"/>
  <c r="AF22" i="41" s="1"/>
  <c r="AG15" i="41"/>
  <c r="AG14" i="41" s="1"/>
  <c r="AG10" i="41"/>
  <c r="AG8" i="41" s="1"/>
  <c r="AG13" i="41" s="1"/>
  <c r="AG17" i="41" s="1"/>
  <c r="AG35" i="41"/>
  <c r="AE34" i="41"/>
  <c r="AF31" i="41"/>
  <c r="AF34" i="41"/>
  <c r="AG25" i="41"/>
  <c r="AG30" i="41"/>
  <c r="AE28" i="41"/>
  <c r="AG28" i="41" s="1"/>
  <c r="AG20" i="41"/>
  <c r="AG18" i="41" s="1"/>
  <c r="AE31" i="41"/>
  <c r="AG32" i="41"/>
  <c r="AC18" i="41"/>
  <c r="AC22" i="41" s="1"/>
  <c r="AD33" i="41"/>
  <c r="AC31" i="41"/>
  <c r="AD10" i="41"/>
  <c r="AD8" i="41" s="1"/>
  <c r="AD13" i="41" s="1"/>
  <c r="AB31" i="41"/>
  <c r="AD32" i="41"/>
  <c r="AC23" i="41"/>
  <c r="AD30" i="41"/>
  <c r="AB28" i="41"/>
  <c r="AD28" i="41" s="1"/>
  <c r="AD35" i="41"/>
  <c r="AB34" i="41"/>
  <c r="AD19" i="41"/>
  <c r="AD18" i="41" s="1"/>
  <c r="AD25" i="41"/>
  <c r="AD15" i="41"/>
  <c r="AD14" i="41" s="1"/>
  <c r="AA27" i="41"/>
  <c r="Z24" i="41"/>
  <c r="Y25" i="41"/>
  <c r="Z17" i="41"/>
  <c r="AA8" i="41"/>
  <c r="Z18" i="41"/>
  <c r="Y31" i="41"/>
  <c r="AA32" i="41"/>
  <c r="AA13" i="41"/>
  <c r="AA18" i="41"/>
  <c r="AA30" i="41"/>
  <c r="Y28" i="41"/>
  <c r="AA28" i="41" s="1"/>
  <c r="Y34" i="41"/>
  <c r="AA35" i="41"/>
  <c r="AA15" i="41"/>
  <c r="AA14" i="41" s="1"/>
  <c r="Z31" i="41"/>
  <c r="AB24" i="41" l="1"/>
  <c r="Y24" i="41"/>
  <c r="Z23" i="41"/>
  <c r="AA25" i="41"/>
  <c r="Y23" i="41"/>
  <c r="AB23" i="41"/>
  <c r="AF23" i="41"/>
  <c r="AE24" i="41"/>
  <c r="AG22" i="41"/>
  <c r="AD17" i="41"/>
  <c r="AD22" i="41" s="1"/>
  <c r="Z22" i="41"/>
  <c r="AA17" i="41"/>
  <c r="AA22" i="41" s="1"/>
  <c r="AE23" i="41" l="1"/>
  <c r="X34" i="41"/>
  <c r="X31" i="41"/>
  <c r="X24" i="41"/>
  <c r="V14" i="41"/>
  <c r="V13" i="41"/>
  <c r="W13" i="41" s="1"/>
  <c r="V12" i="41"/>
  <c r="V11" i="41"/>
  <c r="V10" i="41"/>
  <c r="V36" i="41"/>
  <c r="W21" i="41"/>
  <c r="W19" i="41"/>
  <c r="X16" i="41"/>
  <c r="V15" i="41"/>
  <c r="W15" i="41" s="1"/>
  <c r="W14" i="41" s="1"/>
  <c r="V9" i="41"/>
  <c r="W9" i="41" s="1"/>
  <c r="U34" i="41"/>
  <c r="T36" i="41" s="1"/>
  <c r="U31" i="41"/>
  <c r="S32" i="41" s="1"/>
  <c r="U24" i="41"/>
  <c r="S10" i="41"/>
  <c r="S21" i="41"/>
  <c r="S20" i="41"/>
  <c r="S19" i="41"/>
  <c r="S14" i="41"/>
  <c r="S15" i="41" s="1"/>
  <c r="S13" i="41"/>
  <c r="T13" i="41" s="1"/>
  <c r="S9" i="41"/>
  <c r="T9" i="41" s="1"/>
  <c r="U9" i="41" s="1"/>
  <c r="S11" i="41"/>
  <c r="S12" i="41"/>
  <c r="T12" i="41" s="1"/>
  <c r="S18" i="41"/>
  <c r="S52" i="41" s="1"/>
  <c r="S17" i="41"/>
  <c r="U16" i="41"/>
  <c r="P21" i="41"/>
  <c r="R34" i="41"/>
  <c r="Q36" i="41" s="1"/>
  <c r="R31" i="41"/>
  <c r="R24" i="41"/>
  <c r="P13" i="41"/>
  <c r="P10" i="41"/>
  <c r="P20" i="41"/>
  <c r="P19" i="41"/>
  <c r="P14" i="41"/>
  <c r="P15" i="41" s="1"/>
  <c r="P11" i="41"/>
  <c r="Q11" i="41" s="1"/>
  <c r="P12" i="41"/>
  <c r="Q12" i="41" s="1"/>
  <c r="P9" i="41"/>
  <c r="Q9" i="41" s="1"/>
  <c r="Q20" i="41"/>
  <c r="Q19" i="41"/>
  <c r="R16" i="41"/>
  <c r="M21" i="41"/>
  <c r="M20" i="41"/>
  <c r="M19" i="41"/>
  <c r="O34" i="41"/>
  <c r="M36" i="41" s="1"/>
  <c r="O31" i="41"/>
  <c r="N32" i="41" s="1"/>
  <c r="O24" i="41"/>
  <c r="M14" i="41"/>
  <c r="M13" i="41"/>
  <c r="N13" i="41" s="1"/>
  <c r="M9" i="41"/>
  <c r="M12" i="41"/>
  <c r="M11" i="41"/>
  <c r="M10" i="41"/>
  <c r="O16" i="41"/>
  <c r="J20" i="41"/>
  <c r="F24" i="41"/>
  <c r="L34" i="41"/>
  <c r="K35" i="41" s="1"/>
  <c r="L31" i="41"/>
  <c r="K33" i="41" s="1"/>
  <c r="L24" i="41"/>
  <c r="J21" i="41"/>
  <c r="J19" i="41"/>
  <c r="N19" i="41" l="1"/>
  <c r="S54" i="41"/>
  <c r="S53" i="41"/>
  <c r="S55" i="41"/>
  <c r="R19" i="41"/>
  <c r="V8" i="41"/>
  <c r="J32" i="41"/>
  <c r="M8" i="41"/>
  <c r="J35" i="41"/>
  <c r="J29" i="41"/>
  <c r="J33" i="41"/>
  <c r="K32" i="41"/>
  <c r="J26" i="41"/>
  <c r="J36" i="41"/>
  <c r="K36" i="41"/>
  <c r="K29" i="41"/>
  <c r="N9" i="41"/>
  <c r="O9" i="41" s="1"/>
  <c r="K27" i="41"/>
  <c r="J30" i="41"/>
  <c r="K30" i="41"/>
  <c r="S22" i="41"/>
  <c r="O23" i="41"/>
  <c r="P17" i="41"/>
  <c r="P26" i="41"/>
  <c r="S8" i="41"/>
  <c r="W29" i="41"/>
  <c r="Q26" i="41"/>
  <c r="M17" i="41"/>
  <c r="T26" i="41"/>
  <c r="J27" i="41"/>
  <c r="K26" i="41"/>
  <c r="M26" i="41"/>
  <c r="V26" i="41"/>
  <c r="W26" i="41"/>
  <c r="V27" i="41"/>
  <c r="W27" i="41"/>
  <c r="V29" i="41"/>
  <c r="X23" i="41"/>
  <c r="W17" i="41"/>
  <c r="V17" i="41"/>
  <c r="X9" i="41"/>
  <c r="W10" i="41"/>
  <c r="W8" i="41" s="1"/>
  <c r="W32" i="41"/>
  <c r="V33" i="41"/>
  <c r="W11" i="41"/>
  <c r="X11" i="41" s="1"/>
  <c r="W33" i="41"/>
  <c r="V18" i="41"/>
  <c r="X19" i="41"/>
  <c r="V32" i="41"/>
  <c r="X21" i="41"/>
  <c r="W12" i="41"/>
  <c r="X12" i="41" s="1"/>
  <c r="X15" i="41"/>
  <c r="X14" i="41" s="1"/>
  <c r="V35" i="41"/>
  <c r="V30" i="41"/>
  <c r="W30" i="41"/>
  <c r="W20" i="41"/>
  <c r="X20" i="41" s="1"/>
  <c r="W36" i="41"/>
  <c r="X36" i="41" s="1"/>
  <c r="W35" i="41"/>
  <c r="S27" i="41"/>
  <c r="S29" i="41"/>
  <c r="U23" i="41"/>
  <c r="T27" i="41"/>
  <c r="T29" i="41"/>
  <c r="S26" i="41"/>
  <c r="S35" i="41"/>
  <c r="T32" i="41"/>
  <c r="T10" i="41"/>
  <c r="T8" i="41" s="1"/>
  <c r="S33" i="41"/>
  <c r="T19" i="41"/>
  <c r="T35" i="41"/>
  <c r="T34" i="41" s="1"/>
  <c r="T30" i="41"/>
  <c r="T21" i="41"/>
  <c r="T11" i="41"/>
  <c r="U11" i="41" s="1"/>
  <c r="S36" i="41"/>
  <c r="U36" i="41" s="1"/>
  <c r="T15" i="41"/>
  <c r="T14" i="41" s="1"/>
  <c r="T17" i="41" s="1"/>
  <c r="T33" i="41"/>
  <c r="U12" i="41"/>
  <c r="S30" i="41"/>
  <c r="T20" i="41"/>
  <c r="P27" i="41"/>
  <c r="Q27" i="41"/>
  <c r="P29" i="41"/>
  <c r="Q29" i="41"/>
  <c r="R23" i="41"/>
  <c r="Q30" i="41"/>
  <c r="Q13" i="41"/>
  <c r="P18" i="41"/>
  <c r="P53" i="41" s="1"/>
  <c r="P8" i="41"/>
  <c r="R20" i="41"/>
  <c r="Q21" i="41"/>
  <c r="R11" i="41"/>
  <c r="R12" i="41"/>
  <c r="P35" i="41"/>
  <c r="P32" i="41"/>
  <c r="Q10" i="41"/>
  <c r="Q8" i="41" s="1"/>
  <c r="P33" i="41"/>
  <c r="Q15" i="41"/>
  <c r="Q14" i="41" s="1"/>
  <c r="Q32" i="41"/>
  <c r="R9" i="41"/>
  <c r="Q33" i="41"/>
  <c r="P30" i="41"/>
  <c r="Q35" i="41"/>
  <c r="Q34" i="41" s="1"/>
  <c r="P36" i="41"/>
  <c r="R36" i="41" s="1"/>
  <c r="N26" i="41"/>
  <c r="M29" i="41"/>
  <c r="M27" i="41"/>
  <c r="N27" i="41"/>
  <c r="N29" i="41"/>
  <c r="M15" i="41"/>
  <c r="N15" i="41" s="1"/>
  <c r="N14" i="41" s="1"/>
  <c r="N17" i="41" s="1"/>
  <c r="M32" i="41"/>
  <c r="M33" i="41"/>
  <c r="N33" i="41"/>
  <c r="N31" i="41" s="1"/>
  <c r="M18" i="41"/>
  <c r="M52" i="41" s="1"/>
  <c r="N12" i="41"/>
  <c r="O12" i="41" s="1"/>
  <c r="M35" i="41"/>
  <c r="N21" i="41"/>
  <c r="N10" i="41"/>
  <c r="O10" i="41" s="1"/>
  <c r="N11" i="41"/>
  <c r="O11" i="41" s="1"/>
  <c r="N30" i="41"/>
  <c r="M30" i="41"/>
  <c r="N20" i="41"/>
  <c r="N36" i="41"/>
  <c r="O36" i="41" s="1"/>
  <c r="N35" i="41"/>
  <c r="M25" i="41" l="1"/>
  <c r="M54" i="41"/>
  <c r="P55" i="41"/>
  <c r="P54" i="41"/>
  <c r="U19" i="41"/>
  <c r="O21" i="41"/>
  <c r="N55" i="41"/>
  <c r="U20" i="41"/>
  <c r="M55" i="41"/>
  <c r="R21" i="41"/>
  <c r="N54" i="41"/>
  <c r="U21" i="41"/>
  <c r="U18" i="41" s="1"/>
  <c r="U52" i="41" s="1"/>
  <c r="M53" i="41"/>
  <c r="P22" i="41"/>
  <c r="P52" i="41"/>
  <c r="O19" i="41"/>
  <c r="N34" i="41"/>
  <c r="Q28" i="41"/>
  <c r="X26" i="41"/>
  <c r="Q25" i="41"/>
  <c r="Q24" i="41" s="1"/>
  <c r="W28" i="41"/>
  <c r="V25" i="41"/>
  <c r="V24" i="41" s="1"/>
  <c r="U26" i="41"/>
  <c r="R26" i="41"/>
  <c r="X27" i="41"/>
  <c r="X33" i="41"/>
  <c r="U27" i="41"/>
  <c r="X10" i="41"/>
  <c r="M22" i="41"/>
  <c r="U29" i="41"/>
  <c r="W34" i="41"/>
  <c r="W31" i="41"/>
  <c r="O33" i="41"/>
  <c r="R27" i="41"/>
  <c r="P25" i="41"/>
  <c r="X29" i="41"/>
  <c r="W25" i="41"/>
  <c r="W24" i="41" s="1"/>
  <c r="N8" i="41"/>
  <c r="T25" i="41"/>
  <c r="V22" i="41"/>
  <c r="X18" i="41"/>
  <c r="X30" i="41"/>
  <c r="V34" i="41"/>
  <c r="X35" i="41"/>
  <c r="W18" i="41"/>
  <c r="W22" i="41" s="1"/>
  <c r="V31" i="41"/>
  <c r="X32" i="41"/>
  <c r="X8" i="41"/>
  <c r="X13" i="41" s="1"/>
  <c r="X17" i="41" s="1"/>
  <c r="X22" i="41" s="1"/>
  <c r="V28" i="41"/>
  <c r="U33" i="41"/>
  <c r="T31" i="41"/>
  <c r="S25" i="41"/>
  <c r="T28" i="41"/>
  <c r="U35" i="41"/>
  <c r="S34" i="41"/>
  <c r="U10" i="41"/>
  <c r="U8" i="41" s="1"/>
  <c r="U13" i="41" s="1"/>
  <c r="U32" i="41"/>
  <c r="S31" i="41"/>
  <c r="U30" i="41"/>
  <c r="S28" i="41"/>
  <c r="T18" i="41"/>
  <c r="T53" i="41" s="1"/>
  <c r="U15" i="41"/>
  <c r="U14" i="41" s="1"/>
  <c r="R33" i="41"/>
  <c r="R29" i="41"/>
  <c r="Q17" i="41"/>
  <c r="R15" i="41"/>
  <c r="R14" i="41" s="1"/>
  <c r="R35" i="41"/>
  <c r="P34" i="41"/>
  <c r="R10" i="41"/>
  <c r="R8" i="41" s="1"/>
  <c r="R13" i="41" s="1"/>
  <c r="R30" i="41"/>
  <c r="P28" i="41"/>
  <c r="Q18" i="41"/>
  <c r="Q55" i="41" s="1"/>
  <c r="P31" i="41"/>
  <c r="R32" i="41"/>
  <c r="Q31" i="41"/>
  <c r="Q23" i="41" s="1"/>
  <c r="N28" i="41"/>
  <c r="N25" i="41"/>
  <c r="O25" i="41" s="1"/>
  <c r="O26" i="41"/>
  <c r="O27" i="41"/>
  <c r="O29" i="41"/>
  <c r="N18" i="41"/>
  <c r="N53" i="41" s="1"/>
  <c r="O8" i="41"/>
  <c r="O13" i="41" s="1"/>
  <c r="M31" i="41"/>
  <c r="O32" i="41"/>
  <c r="O15" i="41"/>
  <c r="O14" i="41" s="1"/>
  <c r="O30" i="41"/>
  <c r="M28" i="41"/>
  <c r="M24" i="41" s="1"/>
  <c r="M34" i="41"/>
  <c r="O35" i="41"/>
  <c r="O20" i="41"/>
  <c r="T55" i="41" l="1"/>
  <c r="T54" i="41"/>
  <c r="U55" i="41"/>
  <c r="U21" i="42" s="1"/>
  <c r="R18" i="41"/>
  <c r="R55" i="41" s="1"/>
  <c r="R21" i="42" s="1"/>
  <c r="N22" i="41"/>
  <c r="N52" i="41"/>
  <c r="U54" i="41"/>
  <c r="U20" i="42" s="1"/>
  <c r="Q52" i="41"/>
  <c r="Q53" i="41"/>
  <c r="Q54" i="41"/>
  <c r="O18" i="41"/>
  <c r="O52" i="41" s="1"/>
  <c r="O55" i="41"/>
  <c r="O21" i="42" s="1"/>
  <c r="O53" i="41"/>
  <c r="O19" i="42" s="1"/>
  <c r="T22" i="41"/>
  <c r="T52" i="41"/>
  <c r="U53" i="41"/>
  <c r="U19" i="42" s="1"/>
  <c r="N24" i="41"/>
  <c r="X28" i="41"/>
  <c r="U25" i="41"/>
  <c r="W23" i="41"/>
  <c r="R25" i="41"/>
  <c r="R17" i="41"/>
  <c r="T24" i="41"/>
  <c r="T23" i="41" s="1"/>
  <c r="X25" i="41"/>
  <c r="N23" i="41"/>
  <c r="V23" i="41"/>
  <c r="U28" i="41"/>
  <c r="O28" i="41"/>
  <c r="S24" i="41"/>
  <c r="U17" i="41"/>
  <c r="U22" i="41" s="1"/>
  <c r="Q22" i="41"/>
  <c r="R22" i="41"/>
  <c r="R28" i="41"/>
  <c r="P24" i="41"/>
  <c r="O17" i="41"/>
  <c r="M23" i="41"/>
  <c r="N19" i="42" l="1"/>
  <c r="M19" i="42"/>
  <c r="T19" i="42"/>
  <c r="S19" i="42"/>
  <c r="N21" i="42"/>
  <c r="M21" i="42"/>
  <c r="T20" i="42"/>
  <c r="S20" i="42"/>
  <c r="Q21" i="42"/>
  <c r="P21" i="42"/>
  <c r="T21" i="42"/>
  <c r="S21" i="42"/>
  <c r="O22" i="41"/>
  <c r="O54" i="41"/>
  <c r="O20" i="42" s="1"/>
  <c r="R52" i="41"/>
  <c r="R53" i="41"/>
  <c r="R19" i="42" s="1"/>
  <c r="R54" i="41"/>
  <c r="R20" i="42" s="1"/>
  <c r="P23" i="41"/>
  <c r="S23" i="41"/>
  <c r="J14" i="41"/>
  <c r="J15" i="41" s="1"/>
  <c r="K15" i="41" s="1"/>
  <c r="K14" i="41" s="1"/>
  <c r="J13" i="41"/>
  <c r="J12" i="41"/>
  <c r="K12" i="41" s="1"/>
  <c r="J11" i="41"/>
  <c r="K11" i="41" s="1"/>
  <c r="J10" i="41"/>
  <c r="J9" i="41"/>
  <c r="K9" i="41" s="1"/>
  <c r="L9" i="41" s="1"/>
  <c r="L36" i="41"/>
  <c r="L35" i="41"/>
  <c r="K34" i="41"/>
  <c r="J34" i="41"/>
  <c r="L33" i="41"/>
  <c r="J31" i="41"/>
  <c r="L23" i="41"/>
  <c r="K31" i="41"/>
  <c r="L30" i="41"/>
  <c r="L29" i="41"/>
  <c r="K28" i="41"/>
  <c r="J28" i="41"/>
  <c r="L27" i="41"/>
  <c r="K25" i="41"/>
  <c r="J25" i="41"/>
  <c r="K20" i="41"/>
  <c r="L16" i="41"/>
  <c r="D13" i="41"/>
  <c r="D21" i="41"/>
  <c r="D29" i="41"/>
  <c r="D27" i="41"/>
  <c r="D20" i="41"/>
  <c r="D19" i="41"/>
  <c r="D14" i="41"/>
  <c r="D15" i="41" s="1"/>
  <c r="D12" i="41"/>
  <c r="E12" i="41" s="1"/>
  <c r="D10" i="41"/>
  <c r="E10" i="41" s="1"/>
  <c r="D9" i="41"/>
  <c r="E9" i="41" s="1"/>
  <c r="E26" i="41"/>
  <c r="E27" i="41"/>
  <c r="D26" i="41"/>
  <c r="E29" i="41"/>
  <c r="E30" i="41"/>
  <c r="D30" i="41"/>
  <c r="F34" i="41"/>
  <c r="E36" i="41" s="1"/>
  <c r="F31" i="41"/>
  <c r="E33" i="41" s="1"/>
  <c r="D11" i="41"/>
  <c r="F16" i="41"/>
  <c r="I34" i="41"/>
  <c r="H35" i="41" s="1"/>
  <c r="I31" i="41"/>
  <c r="G32" i="41" s="1"/>
  <c r="I24" i="41"/>
  <c r="AO60" i="41"/>
  <c r="AN60" i="41"/>
  <c r="AP60" i="41" s="1"/>
  <c r="AL60" i="41"/>
  <c r="AK60" i="41"/>
  <c r="AM60" i="41" s="1"/>
  <c r="AI60" i="41"/>
  <c r="AH60" i="41"/>
  <c r="AJ60" i="41" s="1"/>
  <c r="AF60" i="41"/>
  <c r="AE60" i="41"/>
  <c r="AG60" i="41" s="1"/>
  <c r="AC60" i="41"/>
  <c r="AB60" i="41"/>
  <c r="AD60" i="41" s="1"/>
  <c r="Z60" i="41"/>
  <c r="Y60" i="41"/>
  <c r="AA60" i="41" s="1"/>
  <c r="W60" i="41"/>
  <c r="V60" i="41"/>
  <c r="X60" i="41" s="1"/>
  <c r="U60" i="41"/>
  <c r="T60" i="41"/>
  <c r="S60" i="41"/>
  <c r="R60" i="41"/>
  <c r="Q60" i="41"/>
  <c r="P60" i="41"/>
  <c r="N60" i="41"/>
  <c r="M60" i="41"/>
  <c r="O60" i="41" s="1"/>
  <c r="K60" i="41"/>
  <c r="J60" i="41"/>
  <c r="L60" i="41" s="1"/>
  <c r="H60" i="41"/>
  <c r="G60" i="41"/>
  <c r="I60" i="41" s="1"/>
  <c r="E60" i="41"/>
  <c r="AO72" i="41"/>
  <c r="AN72" i="41"/>
  <c r="AO71" i="41"/>
  <c r="AN71" i="41"/>
  <c r="AO70" i="41"/>
  <c r="AN70" i="41"/>
  <c r="AO69" i="41"/>
  <c r="AN69" i="41"/>
  <c r="AO68" i="41"/>
  <c r="AN68" i="41"/>
  <c r="AO67" i="41"/>
  <c r="AN67" i="41"/>
  <c r="AO66" i="41"/>
  <c r="AN66" i="41"/>
  <c r="AP66" i="41" s="1"/>
  <c r="AO65" i="41"/>
  <c r="AO64" i="41" s="1"/>
  <c r="AN65" i="41"/>
  <c r="AN64" i="41" s="1"/>
  <c r="AO63" i="41"/>
  <c r="AN63" i="41"/>
  <c r="AO62" i="41"/>
  <c r="AN62" i="41"/>
  <c r="AO61" i="41"/>
  <c r="AN61" i="41"/>
  <c r="AP63" i="41"/>
  <c r="AP62" i="41"/>
  <c r="AL72" i="41"/>
  <c r="AK72" i="41"/>
  <c r="AL71" i="41"/>
  <c r="AL70" i="41" s="1"/>
  <c r="AK71" i="41"/>
  <c r="AK70" i="41" s="1"/>
  <c r="AM70" i="41" s="1"/>
  <c r="AL69" i="41"/>
  <c r="AK69" i="41"/>
  <c r="AL68" i="41"/>
  <c r="AK68" i="41"/>
  <c r="AL67" i="41"/>
  <c r="AK67" i="41"/>
  <c r="AL66" i="41"/>
  <c r="AK66" i="41"/>
  <c r="AM66" i="41" s="1"/>
  <c r="AL65" i="41"/>
  <c r="AL64" i="41" s="1"/>
  <c r="AK65" i="41"/>
  <c r="AK64" i="41" s="1"/>
  <c r="AM64" i="41" s="1"/>
  <c r="AL63" i="41"/>
  <c r="AK63" i="41"/>
  <c r="AM63" i="41" s="1"/>
  <c r="AL62" i="41"/>
  <c r="AK62" i="41"/>
  <c r="AL61" i="41"/>
  <c r="AK61" i="41"/>
  <c r="AI72" i="41"/>
  <c r="AH72" i="41"/>
  <c r="AI71" i="41"/>
  <c r="AH71" i="41"/>
  <c r="AI70" i="41"/>
  <c r="AH70" i="41"/>
  <c r="AI69" i="41"/>
  <c r="AH69" i="41"/>
  <c r="AI68" i="41"/>
  <c r="AH68" i="41"/>
  <c r="AI67" i="41"/>
  <c r="AH67" i="41"/>
  <c r="AI66" i="41"/>
  <c r="AH66" i="41"/>
  <c r="AJ66" i="41" s="1"/>
  <c r="AI65" i="41"/>
  <c r="AI64" i="41" s="1"/>
  <c r="AH65" i="41"/>
  <c r="AH64" i="41" s="1"/>
  <c r="AJ64" i="41" s="1"/>
  <c r="AI63" i="41"/>
  <c r="AH63" i="41"/>
  <c r="AJ63" i="41" s="1"/>
  <c r="AI62" i="41"/>
  <c r="AH62" i="41"/>
  <c r="AI61" i="41"/>
  <c r="AH61" i="41"/>
  <c r="AF72" i="41"/>
  <c r="AE72" i="41"/>
  <c r="AF71" i="41"/>
  <c r="AE71" i="41"/>
  <c r="AF70" i="41"/>
  <c r="AE70" i="41"/>
  <c r="AF69" i="41"/>
  <c r="AE69" i="41"/>
  <c r="AF68" i="41"/>
  <c r="AE68" i="41"/>
  <c r="AF67" i="41"/>
  <c r="AE67" i="41"/>
  <c r="AF66" i="41"/>
  <c r="AE66" i="41"/>
  <c r="AF65" i="41"/>
  <c r="AF64" i="41" s="1"/>
  <c r="AE65" i="41"/>
  <c r="AG65" i="41" s="1"/>
  <c r="AF63" i="41"/>
  <c r="AE63" i="41"/>
  <c r="AF62" i="41"/>
  <c r="AE62" i="41"/>
  <c r="AG62" i="41" s="1"/>
  <c r="AG61" i="41" s="1"/>
  <c r="AF61" i="41"/>
  <c r="AE61" i="41"/>
  <c r="AC72" i="41"/>
  <c r="AB72" i="41"/>
  <c r="AC71" i="41"/>
  <c r="AC70" i="41" s="1"/>
  <c r="AD70" i="41" s="1"/>
  <c r="AB71" i="41"/>
  <c r="AB70" i="41"/>
  <c r="AC69" i="41"/>
  <c r="AB69" i="41"/>
  <c r="AC68" i="41"/>
  <c r="AB68" i="41"/>
  <c r="AC67" i="41"/>
  <c r="AB67" i="41"/>
  <c r="AC66" i="41"/>
  <c r="AB66" i="41"/>
  <c r="AC65" i="41"/>
  <c r="AC64" i="41" s="1"/>
  <c r="AB65" i="41"/>
  <c r="AD65" i="41" s="1"/>
  <c r="AC63" i="41"/>
  <c r="AD63" i="41" s="1"/>
  <c r="AB63" i="41"/>
  <c r="AC62" i="41"/>
  <c r="AB62" i="41"/>
  <c r="AB61" i="41"/>
  <c r="Z72" i="41"/>
  <c r="Y72" i="41"/>
  <c r="Z71" i="41"/>
  <c r="Y71" i="41"/>
  <c r="Z70" i="41"/>
  <c r="Y70" i="41"/>
  <c r="Z69" i="41"/>
  <c r="Y69" i="41"/>
  <c r="Z68" i="41"/>
  <c r="Y68" i="41"/>
  <c r="Z67" i="41"/>
  <c r="Y67" i="41"/>
  <c r="Z66" i="41"/>
  <c r="Y66" i="41"/>
  <c r="Z65" i="41"/>
  <c r="Z64" i="41" s="1"/>
  <c r="Y65" i="41"/>
  <c r="AA65" i="41" s="1"/>
  <c r="Z63" i="41"/>
  <c r="Y63" i="41"/>
  <c r="AA63" i="41" s="1"/>
  <c r="Z62" i="41"/>
  <c r="Y62" i="41"/>
  <c r="AA62" i="41" s="1"/>
  <c r="AA61" i="41" s="1"/>
  <c r="Z61" i="41"/>
  <c r="Y61" i="41"/>
  <c r="W72" i="41"/>
  <c r="V72" i="41"/>
  <c r="W71" i="41"/>
  <c r="V71" i="41"/>
  <c r="W70" i="41"/>
  <c r="V70" i="41"/>
  <c r="W69" i="41"/>
  <c r="V69" i="41"/>
  <c r="W68" i="41"/>
  <c r="V68" i="41"/>
  <c r="W67" i="41"/>
  <c r="V67" i="41"/>
  <c r="X67" i="41" s="1"/>
  <c r="W66" i="41"/>
  <c r="V66" i="41"/>
  <c r="X66" i="41" s="1"/>
  <c r="W65" i="41"/>
  <c r="W64" i="41" s="1"/>
  <c r="V65" i="41"/>
  <c r="V64" i="41" s="1"/>
  <c r="X64" i="41" s="1"/>
  <c r="W63" i="41"/>
  <c r="V63" i="41"/>
  <c r="X63" i="41" s="1"/>
  <c r="W62" i="41"/>
  <c r="V62" i="41"/>
  <c r="X62" i="41" s="1"/>
  <c r="X61" i="41" s="1"/>
  <c r="W61" i="41"/>
  <c r="V61" i="41"/>
  <c r="T72" i="41"/>
  <c r="S72" i="41"/>
  <c r="T71" i="41"/>
  <c r="S71" i="41"/>
  <c r="T70" i="41"/>
  <c r="S70" i="41"/>
  <c r="T69" i="41"/>
  <c r="S69" i="41"/>
  <c r="U69" i="41" s="1"/>
  <c r="T68" i="41"/>
  <c r="T67" i="41" s="1"/>
  <c r="S68" i="41"/>
  <c r="U68" i="41" s="1"/>
  <c r="T66" i="41"/>
  <c r="S66" i="41"/>
  <c r="U66" i="41" s="1"/>
  <c r="T65" i="41"/>
  <c r="T64" i="41" s="1"/>
  <c r="S65" i="41"/>
  <c r="S64" i="41" s="1"/>
  <c r="U64" i="41" s="1"/>
  <c r="T63" i="41"/>
  <c r="S63" i="41"/>
  <c r="U63" i="41" s="1"/>
  <c r="T62" i="41"/>
  <c r="S62" i="41"/>
  <c r="U62" i="41" s="1"/>
  <c r="T61" i="41"/>
  <c r="S61" i="41"/>
  <c r="Q72" i="41"/>
  <c r="P72" i="41"/>
  <c r="Q71" i="41"/>
  <c r="P71" i="41"/>
  <c r="Q70" i="41"/>
  <c r="P70" i="41"/>
  <c r="Q69" i="41"/>
  <c r="P69" i="41"/>
  <c r="Q68" i="41"/>
  <c r="P68" i="41"/>
  <c r="Q67" i="41"/>
  <c r="P67" i="41"/>
  <c r="Q66" i="41"/>
  <c r="P66" i="41"/>
  <c r="R66" i="41" s="1"/>
  <c r="Q65" i="41"/>
  <c r="Q64" i="41" s="1"/>
  <c r="P65" i="41"/>
  <c r="P64" i="41" s="1"/>
  <c r="R64" i="41" s="1"/>
  <c r="Q63" i="41"/>
  <c r="P63" i="41"/>
  <c r="Q62" i="41"/>
  <c r="P62" i="41"/>
  <c r="R62" i="41" s="1"/>
  <c r="R61" i="41" s="1"/>
  <c r="Q61" i="41"/>
  <c r="P61" i="41"/>
  <c r="N72" i="41"/>
  <c r="M72" i="41"/>
  <c r="N71" i="41"/>
  <c r="M71" i="41"/>
  <c r="N70" i="41"/>
  <c r="M70" i="41"/>
  <c r="N69" i="41"/>
  <c r="M69" i="41"/>
  <c r="N68" i="41"/>
  <c r="N67" i="41" s="1"/>
  <c r="M68" i="41"/>
  <c r="M67" i="41" s="1"/>
  <c r="O67" i="41" s="1"/>
  <c r="N66" i="41"/>
  <c r="M66" i="41"/>
  <c r="O66" i="41" s="1"/>
  <c r="N65" i="41"/>
  <c r="N64" i="41" s="1"/>
  <c r="M65" i="41"/>
  <c r="M64" i="41" s="1"/>
  <c r="N63" i="41"/>
  <c r="M63" i="41"/>
  <c r="O63" i="41" s="1"/>
  <c r="N62" i="41"/>
  <c r="N61" i="41" s="1"/>
  <c r="M62" i="41"/>
  <c r="M61" i="41"/>
  <c r="K72" i="41"/>
  <c r="J72" i="41"/>
  <c r="K71" i="41"/>
  <c r="J71" i="41"/>
  <c r="K70" i="41"/>
  <c r="J70" i="41"/>
  <c r="K69" i="41"/>
  <c r="J69" i="41"/>
  <c r="L69" i="41" s="1"/>
  <c r="K68" i="41"/>
  <c r="J68" i="41"/>
  <c r="L68" i="41" s="1"/>
  <c r="K67" i="41"/>
  <c r="J67" i="41"/>
  <c r="K66" i="41"/>
  <c r="J66" i="41"/>
  <c r="L66" i="41" s="1"/>
  <c r="K65" i="41"/>
  <c r="K64" i="41" s="1"/>
  <c r="J65" i="41"/>
  <c r="J64" i="41" s="1"/>
  <c r="L64" i="41" s="1"/>
  <c r="K63" i="41"/>
  <c r="J63" i="41"/>
  <c r="K62" i="41"/>
  <c r="K61" i="41" s="1"/>
  <c r="J62" i="41"/>
  <c r="J61" i="41"/>
  <c r="H72" i="41"/>
  <c r="G72" i="41"/>
  <c r="G70" i="41" s="1"/>
  <c r="H71" i="41"/>
  <c r="I71" i="41" s="1"/>
  <c r="G71" i="41"/>
  <c r="H69" i="41"/>
  <c r="G69" i="41"/>
  <c r="I69" i="41" s="1"/>
  <c r="H68" i="41"/>
  <c r="G68" i="41"/>
  <c r="H67" i="41"/>
  <c r="G67" i="41"/>
  <c r="I67" i="41" s="1"/>
  <c r="H66" i="41"/>
  <c r="G66" i="41"/>
  <c r="I66" i="41" s="1"/>
  <c r="H65" i="41"/>
  <c r="G65" i="41"/>
  <c r="I65" i="41" s="1"/>
  <c r="H64" i="41"/>
  <c r="G64" i="41"/>
  <c r="H63" i="41"/>
  <c r="I63" i="41" s="1"/>
  <c r="G63" i="41"/>
  <c r="H62" i="41"/>
  <c r="G62" i="41"/>
  <c r="I62" i="41" s="1"/>
  <c r="I61" i="41" s="1"/>
  <c r="G61" i="41"/>
  <c r="E72" i="41"/>
  <c r="E71" i="41"/>
  <c r="E69" i="41"/>
  <c r="F69" i="41" s="1"/>
  <c r="E68" i="41"/>
  <c r="E66" i="41"/>
  <c r="E64" i="41" s="1"/>
  <c r="E65" i="41"/>
  <c r="D72" i="41"/>
  <c r="D71" i="41"/>
  <c r="D69" i="41"/>
  <c r="D68" i="41"/>
  <c r="D66" i="41"/>
  <c r="D65" i="41"/>
  <c r="E63" i="41"/>
  <c r="E61" i="41" s="1"/>
  <c r="E62" i="41"/>
  <c r="D63" i="41"/>
  <c r="D62" i="41"/>
  <c r="D61" i="41" s="1"/>
  <c r="AG63" i="41"/>
  <c r="AD62" i="41"/>
  <c r="R63" i="41"/>
  <c r="O62" i="41"/>
  <c r="L63" i="41"/>
  <c r="L62" i="41"/>
  <c r="L61" i="41" s="1"/>
  <c r="F62" i="41"/>
  <c r="F72" i="41"/>
  <c r="F71" i="41"/>
  <c r="E70" i="41"/>
  <c r="D67" i="41"/>
  <c r="F65" i="41"/>
  <c r="D64" i="41"/>
  <c r="I72" i="41"/>
  <c r="L72" i="41"/>
  <c r="L71" i="41"/>
  <c r="L67" i="41"/>
  <c r="O72" i="41"/>
  <c r="O71" i="41"/>
  <c r="O70" i="41"/>
  <c r="O69" i="41"/>
  <c r="R72" i="41"/>
  <c r="R71" i="41"/>
  <c r="R70" i="41"/>
  <c r="R69" i="41"/>
  <c r="R68" i="41"/>
  <c r="AP72" i="41"/>
  <c r="AP71" i="41"/>
  <c r="AP69" i="41"/>
  <c r="AM72" i="41"/>
  <c r="AM69" i="41"/>
  <c r="AM68" i="41"/>
  <c r="AM67" i="41"/>
  <c r="AJ72" i="41"/>
  <c r="AJ71" i="41"/>
  <c r="AJ70" i="41"/>
  <c r="AJ69" i="41"/>
  <c r="AJ67" i="41"/>
  <c r="AG72" i="41"/>
  <c r="AG71" i="41"/>
  <c r="AG70" i="41"/>
  <c r="AG69" i="41"/>
  <c r="AG67" i="41"/>
  <c r="AG66" i="41"/>
  <c r="AD72" i="41"/>
  <c r="AD71" i="41"/>
  <c r="AD69" i="41"/>
  <c r="AD67" i="41"/>
  <c r="AD66" i="41"/>
  <c r="AA72" i="41"/>
  <c r="AA71" i="41"/>
  <c r="AA70" i="41"/>
  <c r="AA69" i="41"/>
  <c r="AA67" i="41"/>
  <c r="AA66" i="41"/>
  <c r="X72" i="41"/>
  <c r="X70" i="41"/>
  <c r="X71" i="41"/>
  <c r="X69" i="41"/>
  <c r="X68" i="41"/>
  <c r="U72" i="41"/>
  <c r="U71" i="41"/>
  <c r="U65" i="41"/>
  <c r="G21" i="41"/>
  <c r="G19" i="41"/>
  <c r="G20" i="41"/>
  <c r="M20" i="42" l="1"/>
  <c r="N20" i="42"/>
  <c r="N18" i="42" s="1"/>
  <c r="N17" i="42" s="1"/>
  <c r="N23" i="42" s="1"/>
  <c r="P19" i="42"/>
  <c r="Q19" i="42"/>
  <c r="S18" i="42"/>
  <c r="S17" i="42" s="1"/>
  <c r="S23" i="42" s="1"/>
  <c r="T18" i="42"/>
  <c r="T17" i="42" s="1"/>
  <c r="T23" i="42" s="1"/>
  <c r="M18" i="42"/>
  <c r="M17" i="42" s="1"/>
  <c r="M23" i="42" s="1"/>
  <c r="P20" i="42"/>
  <c r="Q20" i="42"/>
  <c r="H21" i="41"/>
  <c r="L20" i="41"/>
  <c r="H19" i="41"/>
  <c r="E19" i="41"/>
  <c r="H20" i="41"/>
  <c r="K24" i="41"/>
  <c r="K23" i="41" s="1"/>
  <c r="L28" i="41"/>
  <c r="D25" i="41"/>
  <c r="H32" i="41"/>
  <c r="H26" i="41"/>
  <c r="F23" i="41"/>
  <c r="G30" i="41"/>
  <c r="G33" i="41"/>
  <c r="G36" i="41"/>
  <c r="D35" i="41"/>
  <c r="H30" i="41"/>
  <c r="H33" i="41"/>
  <c r="E28" i="41"/>
  <c r="D36" i="41"/>
  <c r="D34" i="41" s="1"/>
  <c r="I23" i="41"/>
  <c r="G35" i="41"/>
  <c r="H29" i="41"/>
  <c r="E25" i="41"/>
  <c r="G29" i="41"/>
  <c r="E35" i="41"/>
  <c r="G27" i="41"/>
  <c r="H36" i="41"/>
  <c r="E32" i="41"/>
  <c r="E31" i="41" s="1"/>
  <c r="G26" i="41"/>
  <c r="D32" i="41"/>
  <c r="D33" i="41"/>
  <c r="F33" i="41" s="1"/>
  <c r="H27" i="41"/>
  <c r="F30" i="41"/>
  <c r="F29" i="41"/>
  <c r="D28" i="41"/>
  <c r="F28" i="41" s="1"/>
  <c r="J17" i="41"/>
  <c r="K13" i="41"/>
  <c r="K17" i="41" s="1"/>
  <c r="L25" i="41"/>
  <c r="J24" i="41"/>
  <c r="K21" i="41"/>
  <c r="K10" i="41"/>
  <c r="K8" i="41" s="1"/>
  <c r="L15" i="41"/>
  <c r="L14" i="41" s="1"/>
  <c r="L11" i="41"/>
  <c r="L12" i="41"/>
  <c r="J8" i="41"/>
  <c r="K19" i="41"/>
  <c r="L26" i="41"/>
  <c r="L32" i="41"/>
  <c r="J18" i="41"/>
  <c r="F9" i="41"/>
  <c r="E8" i="41"/>
  <c r="F36" i="41"/>
  <c r="D17" i="41"/>
  <c r="E13" i="41"/>
  <c r="E15" i="41"/>
  <c r="E14" i="41" s="1"/>
  <c r="D18" i="41"/>
  <c r="D52" i="41" s="1"/>
  <c r="F12" i="41"/>
  <c r="F26" i="41"/>
  <c r="F10" i="41"/>
  <c r="E11" i="41"/>
  <c r="F11" i="41" s="1"/>
  <c r="D8" i="41"/>
  <c r="E21" i="41"/>
  <c r="F27" i="41"/>
  <c r="E20" i="41"/>
  <c r="AP67" i="41"/>
  <c r="AP65" i="41"/>
  <c r="AP61" i="41"/>
  <c r="AP64" i="41"/>
  <c r="AJ65" i="41"/>
  <c r="AE64" i="41"/>
  <c r="AG64" i="41" s="1"/>
  <c r="AC61" i="41"/>
  <c r="AD61" i="41"/>
  <c r="AB64" i="41"/>
  <c r="AD64" i="41" s="1"/>
  <c r="Y64" i="41"/>
  <c r="AA64" i="41" s="1"/>
  <c r="X65" i="41"/>
  <c r="U61" i="41"/>
  <c r="S67" i="41"/>
  <c r="U67" i="41" s="1"/>
  <c r="R65" i="41"/>
  <c r="O65" i="41"/>
  <c r="O61" i="41"/>
  <c r="L65" i="41"/>
  <c r="H61" i="41"/>
  <c r="H70" i="41"/>
  <c r="I70" i="41" s="1"/>
  <c r="E67" i="41"/>
  <c r="F67" i="41"/>
  <c r="F66" i="41"/>
  <c r="F64" i="41"/>
  <c r="D60" i="41"/>
  <c r="F63" i="41"/>
  <c r="F60" i="41"/>
  <c r="F61" i="41"/>
  <c r="AM62" i="41"/>
  <c r="AM61" i="41" s="1"/>
  <c r="AJ62" i="41"/>
  <c r="AJ61" i="41" s="1"/>
  <c r="F68" i="41"/>
  <c r="D70" i="41"/>
  <c r="F70" i="41" s="1"/>
  <c r="I68" i="41"/>
  <c r="I64" i="41"/>
  <c r="L70" i="41"/>
  <c r="O68" i="41"/>
  <c r="O64" i="41"/>
  <c r="R67" i="41"/>
  <c r="AP70" i="41"/>
  <c r="AP68" i="41"/>
  <c r="AM65" i="41"/>
  <c r="AM71" i="41"/>
  <c r="AJ68" i="41"/>
  <c r="AG68" i="41"/>
  <c r="AD68" i="41"/>
  <c r="AA68" i="41"/>
  <c r="U70" i="41"/>
  <c r="Q18" i="42" l="1"/>
  <c r="Q17" i="42" s="1"/>
  <c r="Q23" i="42" s="1"/>
  <c r="P18" i="42"/>
  <c r="P17" i="42" s="1"/>
  <c r="P23" i="42" s="1"/>
  <c r="L21" i="41"/>
  <c r="F19" i="41"/>
  <c r="D55" i="41"/>
  <c r="D53" i="41"/>
  <c r="J52" i="41"/>
  <c r="J54" i="41"/>
  <c r="J53" i="41"/>
  <c r="J55" i="41"/>
  <c r="D54" i="41"/>
  <c r="F21" i="41"/>
  <c r="F25" i="41"/>
  <c r="H28" i="41"/>
  <c r="D22" i="41"/>
  <c r="E24" i="41"/>
  <c r="F8" i="41"/>
  <c r="F13" i="41" s="1"/>
  <c r="D24" i="41"/>
  <c r="G28" i="41"/>
  <c r="F35" i="41"/>
  <c r="E34" i="41"/>
  <c r="D31" i="41"/>
  <c r="D23" i="41"/>
  <c r="J23" i="41"/>
  <c r="F32" i="41"/>
  <c r="L10" i="41"/>
  <c r="L8" i="41" s="1"/>
  <c r="L13" i="41" s="1"/>
  <c r="L17" i="41" s="1"/>
  <c r="J22" i="41"/>
  <c r="K18" i="41"/>
  <c r="L19" i="41"/>
  <c r="E17" i="41"/>
  <c r="E18" i="41"/>
  <c r="E52" i="41" s="1"/>
  <c r="F20" i="41"/>
  <c r="F15" i="41"/>
  <c r="F14" i="41" s="1"/>
  <c r="I28" i="41" l="1"/>
  <c r="E55" i="41"/>
  <c r="E53" i="41"/>
  <c r="K22" i="41"/>
  <c r="K52" i="41"/>
  <c r="K54" i="41"/>
  <c r="K53" i="41"/>
  <c r="F18" i="41"/>
  <c r="F52" i="41" s="1"/>
  <c r="F54" i="41"/>
  <c r="F20" i="42" s="1"/>
  <c r="E54" i="41"/>
  <c r="L18" i="41"/>
  <c r="L53" i="41"/>
  <c r="L19" i="42" s="1"/>
  <c r="F53" i="41"/>
  <c r="F19" i="42" s="1"/>
  <c r="K55" i="41"/>
  <c r="E23" i="41"/>
  <c r="L22" i="41"/>
  <c r="E22" i="41"/>
  <c r="F17" i="41"/>
  <c r="K19" i="42" l="1"/>
  <c r="J19" i="42"/>
  <c r="E19" i="42"/>
  <c r="D19" i="42"/>
  <c r="L52" i="41"/>
  <c r="L54" i="41"/>
  <c r="L20" i="42" s="1"/>
  <c r="E20" i="42"/>
  <c r="D20" i="42"/>
  <c r="L55" i="41"/>
  <c r="L21" i="42" s="1"/>
  <c r="F22" i="41"/>
  <c r="F55" i="41"/>
  <c r="F21" i="42" s="1"/>
  <c r="G10" i="41"/>
  <c r="H10" i="41" s="1"/>
  <c r="K21" i="42" l="1"/>
  <c r="J21" i="42"/>
  <c r="J20" i="42"/>
  <c r="K20" i="42"/>
  <c r="K18" i="42" s="1"/>
  <c r="K17" i="42" s="1"/>
  <c r="J18" i="42"/>
  <c r="J17" i="42" s="1"/>
  <c r="J23" i="42" s="1"/>
  <c r="E21" i="42"/>
  <c r="E18" i="42" s="1"/>
  <c r="E17" i="42" s="1"/>
  <c r="E23" i="42" s="1"/>
  <c r="D21" i="42"/>
  <c r="D18" i="42" s="1"/>
  <c r="D17" i="42" s="1"/>
  <c r="D23" i="42" s="1"/>
  <c r="G11" i="41"/>
  <c r="H11" i="41" s="1"/>
  <c r="K41" i="42" l="1"/>
  <c r="K23" i="42"/>
  <c r="G13" i="41"/>
  <c r="H13" i="41" s="1"/>
  <c r="G12" i="41"/>
  <c r="H12" i="41" s="1"/>
  <c r="G14" i="41" l="1"/>
  <c r="G15" i="41" s="1"/>
  <c r="H15" i="41" s="1"/>
  <c r="F34" i="44" l="1"/>
  <c r="F33" i="44"/>
  <c r="E33" i="44"/>
  <c r="E17" i="48" l="1"/>
  <c r="E17" i="47"/>
  <c r="P11" i="48"/>
  <c r="O11" i="48"/>
  <c r="N11" i="48"/>
  <c r="M11" i="48"/>
  <c r="L11" i="48"/>
  <c r="K11" i="48"/>
  <c r="J11" i="48"/>
  <c r="I11" i="48"/>
  <c r="H11" i="48"/>
  <c r="G11" i="48"/>
  <c r="F11" i="48"/>
  <c r="E11" i="48"/>
  <c r="D11" i="48"/>
  <c r="P11" i="47"/>
  <c r="O11" i="47"/>
  <c r="N11" i="47"/>
  <c r="M11" i="47"/>
  <c r="L11" i="47"/>
  <c r="K11" i="47"/>
  <c r="J11" i="47"/>
  <c r="I11" i="47"/>
  <c r="H11" i="47"/>
  <c r="G11" i="47"/>
  <c r="F11" i="47"/>
  <c r="E11" i="47"/>
  <c r="D11" i="47"/>
  <c r="G31" i="44"/>
  <c r="G30" i="44"/>
  <c r="G29" i="44"/>
  <c r="G28" i="44"/>
  <c r="G27" i="44"/>
  <c r="G26" i="44"/>
  <c r="G25" i="44"/>
  <c r="G24" i="44"/>
  <c r="G23" i="44"/>
  <c r="G22" i="44"/>
  <c r="G21" i="44"/>
  <c r="G20" i="44"/>
  <c r="G19" i="44"/>
  <c r="E34" i="43"/>
  <c r="E57" i="43"/>
  <c r="E47" i="43"/>
  <c r="E41" i="43"/>
  <c r="E28" i="43"/>
  <c r="E20" i="43"/>
  <c r="E11" i="43"/>
  <c r="G33" i="44" l="1"/>
  <c r="G34" i="44" s="1"/>
  <c r="H33" i="44"/>
  <c r="AE7" i="40"/>
  <c r="AF7" i="40"/>
  <c r="AG7" i="40"/>
  <c r="AH7" i="40"/>
  <c r="AI7" i="40"/>
  <c r="AJ7" i="40" s="1"/>
  <c r="AK7" i="40" s="1"/>
  <c r="AL7" i="40" s="1"/>
  <c r="AM7" i="40" s="1"/>
  <c r="AN7" i="40" s="1"/>
  <c r="AO7" i="40" s="1"/>
  <c r="AP7" i="40" s="1"/>
  <c r="T7" i="40"/>
  <c r="U7" i="40" s="1"/>
  <c r="V7" i="40" s="1"/>
  <c r="W7" i="40" s="1"/>
  <c r="X7" i="40" s="1"/>
  <c r="Y7" i="40" s="1"/>
  <c r="Z7" i="40" s="1"/>
  <c r="AA7" i="40" s="1"/>
  <c r="AB7" i="40" s="1"/>
  <c r="AC7" i="40" s="1"/>
  <c r="AD7" i="40" s="1"/>
  <c r="H7" i="40"/>
  <c r="I7" i="40"/>
  <c r="J7" i="40"/>
  <c r="K7" i="40"/>
  <c r="L7" i="40" s="1"/>
  <c r="M7" i="40" s="1"/>
  <c r="N7" i="40" s="1"/>
  <c r="O7" i="40" s="1"/>
  <c r="P7" i="40" s="1"/>
  <c r="Q7" i="40" s="1"/>
  <c r="R7" i="40" s="1"/>
  <c r="S7" i="40" s="1"/>
  <c r="E7" i="40"/>
  <c r="F7" i="40" s="1"/>
  <c r="G7" i="40" s="1"/>
  <c r="D7" i="40"/>
  <c r="AK28" i="40"/>
  <c r="AL28" i="40"/>
  <c r="H34" i="44" l="1"/>
  <c r="I36" i="41"/>
  <c r="I35" i="41"/>
  <c r="H34" i="41"/>
  <c r="G34" i="41"/>
  <c r="I33" i="41"/>
  <c r="I32" i="41"/>
  <c r="H31" i="41"/>
  <c r="G31" i="41"/>
  <c r="I30" i="41"/>
  <c r="I29" i="41"/>
  <c r="I27" i="41"/>
  <c r="I26" i="41"/>
  <c r="H25" i="41"/>
  <c r="H24" i="41" s="1"/>
  <c r="G25" i="41"/>
  <c r="I21" i="41"/>
  <c r="I20" i="41"/>
  <c r="I19" i="41"/>
  <c r="H18" i="41"/>
  <c r="G18" i="41"/>
  <c r="I16" i="41"/>
  <c r="G17" i="41"/>
  <c r="I12" i="41"/>
  <c r="I11" i="41"/>
  <c r="I10" i="41"/>
  <c r="I8" i="41" s="1"/>
  <c r="I9" i="41"/>
  <c r="H8" i="41"/>
  <c r="G8" i="41"/>
  <c r="AO15" i="40"/>
  <c r="AN15" i="40"/>
  <c r="AO29" i="40"/>
  <c r="AI15" i="40"/>
  <c r="AH15" i="40"/>
  <c r="AI29" i="40"/>
  <c r="AL15" i="40"/>
  <c r="AK15" i="40"/>
  <c r="AL26" i="40"/>
  <c r="G52" i="41" l="1"/>
  <c r="G55" i="41"/>
  <c r="G54" i="41"/>
  <c r="G53" i="41"/>
  <c r="H52" i="41"/>
  <c r="H54" i="41"/>
  <c r="H55" i="41"/>
  <c r="H53" i="41"/>
  <c r="I18" i="41"/>
  <c r="I52" i="41" s="1"/>
  <c r="G22" i="41"/>
  <c r="H23" i="41"/>
  <c r="I25" i="41"/>
  <c r="G24" i="41"/>
  <c r="I13" i="41"/>
  <c r="I55" i="41" l="1"/>
  <c r="I21" i="42" s="1"/>
  <c r="I54" i="41"/>
  <c r="I20" i="42" s="1"/>
  <c r="I53" i="41"/>
  <c r="I19" i="42" s="1"/>
  <c r="G23" i="41"/>
  <c r="T15" i="40"/>
  <c r="S15" i="40"/>
  <c r="Q15" i="40"/>
  <c r="P15" i="40"/>
  <c r="N15" i="40"/>
  <c r="M15" i="40"/>
  <c r="N26" i="40"/>
  <c r="W15" i="40"/>
  <c r="V15" i="40"/>
  <c r="W30" i="40"/>
  <c r="Z15" i="40"/>
  <c r="Y15" i="40"/>
  <c r="AF15" i="40"/>
  <c r="AE15" i="40"/>
  <c r="AC15" i="40"/>
  <c r="AB15" i="40"/>
  <c r="AC30" i="40"/>
  <c r="E15" i="40"/>
  <c r="D15" i="40"/>
  <c r="H15" i="40"/>
  <c r="G15" i="40"/>
  <c r="G19" i="42" l="1"/>
  <c r="H19" i="42"/>
  <c r="G20" i="42"/>
  <c r="H20" i="42"/>
  <c r="G21" i="42"/>
  <c r="H21" i="42"/>
  <c r="P11" i="46"/>
  <c r="O11" i="46"/>
  <c r="N11" i="46"/>
  <c r="M11" i="46"/>
  <c r="L11" i="46"/>
  <c r="K11" i="46"/>
  <c r="J11" i="46"/>
  <c r="I11" i="46"/>
  <c r="H11" i="46"/>
  <c r="G11" i="46"/>
  <c r="F11" i="46"/>
  <c r="E11" i="46"/>
  <c r="D11" i="46"/>
  <c r="H18" i="42" l="1"/>
  <c r="H17" i="42" s="1"/>
  <c r="H23" i="42" s="1"/>
  <c r="G18" i="42"/>
  <c r="G17" i="42" s="1"/>
  <c r="G23" i="42" s="1"/>
  <c r="X36" i="40"/>
  <c r="X35" i="40"/>
  <c r="W34" i="40"/>
  <c r="V34" i="40"/>
  <c r="X33" i="40"/>
  <c r="X32" i="40"/>
  <c r="X31" i="40" s="1"/>
  <c r="W31" i="40"/>
  <c r="V31" i="40"/>
  <c r="X30" i="40"/>
  <c r="X29" i="40"/>
  <c r="W28" i="40"/>
  <c r="W24" i="40" s="1"/>
  <c r="V28" i="40"/>
  <c r="V24" i="40" s="1"/>
  <c r="X27" i="40"/>
  <c r="X26" i="40"/>
  <c r="W25" i="40"/>
  <c r="V25" i="40"/>
  <c r="X25" i="40" s="1"/>
  <c r="X21" i="40"/>
  <c r="X20" i="40"/>
  <c r="X19" i="40"/>
  <c r="X18" i="40" s="1"/>
  <c r="W18" i="40"/>
  <c r="V18" i="40"/>
  <c r="X16" i="40"/>
  <c r="X15" i="40"/>
  <c r="X14" i="40" s="1"/>
  <c r="W14" i="40"/>
  <c r="V14" i="40"/>
  <c r="X12" i="40"/>
  <c r="X10" i="40"/>
  <c r="X8" i="40" s="1"/>
  <c r="X9" i="40"/>
  <c r="W8" i="40"/>
  <c r="W13" i="40" s="1"/>
  <c r="V8" i="40"/>
  <c r="V13" i="40" s="1"/>
  <c r="V17" i="40" l="1"/>
  <c r="V22" i="40" s="1"/>
  <c r="X34" i="40"/>
  <c r="V23" i="40"/>
  <c r="W23" i="40"/>
  <c r="W17" i="40"/>
  <c r="W22" i="40" s="1"/>
  <c r="X13" i="40"/>
  <c r="X17" i="40" s="1"/>
  <c r="X22" i="40" s="1"/>
  <c r="X28" i="40"/>
  <c r="X24" i="40" s="1"/>
  <c r="X23" i="40" s="1"/>
  <c r="AP36" i="40" l="1"/>
  <c r="AM36" i="40"/>
  <c r="AJ36" i="40"/>
  <c r="AG36" i="40"/>
  <c r="AD36" i="40"/>
  <c r="AD34" i="40" s="1"/>
  <c r="AA36" i="40"/>
  <c r="U36" i="40"/>
  <c r="R36" i="40"/>
  <c r="O36" i="40"/>
  <c r="O34" i="40" s="1"/>
  <c r="L36" i="40"/>
  <c r="L34" i="40" s="1"/>
  <c r="I36" i="40"/>
  <c r="F36" i="40"/>
  <c r="AP35" i="40"/>
  <c r="AM35" i="40"/>
  <c r="AJ35" i="40"/>
  <c r="AJ34" i="40" s="1"/>
  <c r="AG35" i="40"/>
  <c r="AG34" i="40" s="1"/>
  <c r="AD35" i="40"/>
  <c r="AA35" i="40"/>
  <c r="AA34" i="40" s="1"/>
  <c r="U35" i="40"/>
  <c r="U34" i="40" s="1"/>
  <c r="R35" i="40"/>
  <c r="R34" i="40" s="1"/>
  <c r="O35" i="40"/>
  <c r="L35" i="40"/>
  <c r="I35" i="40"/>
  <c r="F35" i="40"/>
  <c r="F34" i="40" s="1"/>
  <c r="AO34" i="40"/>
  <c r="AN34" i="40"/>
  <c r="AL34" i="40"/>
  <c r="AK34" i="40"/>
  <c r="AI34" i="40"/>
  <c r="AH34" i="40"/>
  <c r="AF34" i="40"/>
  <c r="AE34" i="40"/>
  <c r="AC34" i="40"/>
  <c r="AB34" i="40"/>
  <c r="Z34" i="40"/>
  <c r="Y34" i="40"/>
  <c r="T34" i="40"/>
  <c r="S34" i="40"/>
  <c r="Q34" i="40"/>
  <c r="P34" i="40"/>
  <c r="N34" i="40"/>
  <c r="M34" i="40"/>
  <c r="K34" i="40"/>
  <c r="J34" i="40"/>
  <c r="I34" i="40"/>
  <c r="H34" i="40"/>
  <c r="G34" i="40"/>
  <c r="E34" i="40"/>
  <c r="D34" i="40"/>
  <c r="AP33" i="40"/>
  <c r="AM33" i="40"/>
  <c r="AJ33" i="40"/>
  <c r="AG33" i="40"/>
  <c r="AD33" i="40"/>
  <c r="AD31" i="40" s="1"/>
  <c r="AA33" i="40"/>
  <c r="AA31" i="40" s="1"/>
  <c r="U33" i="40"/>
  <c r="R33" i="40"/>
  <c r="O33" i="40"/>
  <c r="L33" i="40"/>
  <c r="I33" i="40"/>
  <c r="F33" i="40"/>
  <c r="F31" i="40" s="1"/>
  <c r="AP32" i="40"/>
  <c r="AM32" i="40"/>
  <c r="AJ32" i="40"/>
  <c r="AG32" i="40"/>
  <c r="AG31" i="40" s="1"/>
  <c r="AD32" i="40"/>
  <c r="AA32" i="40"/>
  <c r="U32" i="40"/>
  <c r="U31" i="40" s="1"/>
  <c r="R32" i="40"/>
  <c r="R31" i="40" s="1"/>
  <c r="O32" i="40"/>
  <c r="L32" i="40"/>
  <c r="I32" i="40"/>
  <c r="F32" i="40"/>
  <c r="AO31" i="40"/>
  <c r="AN31" i="40"/>
  <c r="AL31" i="40"/>
  <c r="AK31" i="40"/>
  <c r="AI31" i="40"/>
  <c r="AH31" i="40"/>
  <c r="AF31" i="40"/>
  <c r="AE31" i="40"/>
  <c r="AC31" i="40"/>
  <c r="AB31" i="40"/>
  <c r="Z31" i="40"/>
  <c r="Y31" i="40"/>
  <c r="T31" i="40"/>
  <c r="S31" i="40"/>
  <c r="Q31" i="40"/>
  <c r="P31" i="40"/>
  <c r="O31" i="40"/>
  <c r="N31" i="40"/>
  <c r="M31" i="40"/>
  <c r="L31" i="40"/>
  <c r="K31" i="40"/>
  <c r="J31" i="40"/>
  <c r="H31" i="40"/>
  <c r="G31" i="40"/>
  <c r="E31" i="40"/>
  <c r="D31" i="40"/>
  <c r="AP30" i="40"/>
  <c r="AM30" i="40"/>
  <c r="AJ30" i="40"/>
  <c r="AG30" i="40"/>
  <c r="AD30" i="40"/>
  <c r="AA30" i="40"/>
  <c r="U30" i="40"/>
  <c r="R30" i="40"/>
  <c r="O30" i="40"/>
  <c r="L30" i="40"/>
  <c r="I30" i="40"/>
  <c r="F30" i="40"/>
  <c r="AP29" i="40"/>
  <c r="AM29" i="40"/>
  <c r="AJ29" i="40"/>
  <c r="AG29" i="40"/>
  <c r="AD29" i="40"/>
  <c r="AA29" i="40"/>
  <c r="U29" i="40"/>
  <c r="R29" i="40"/>
  <c r="O29" i="40"/>
  <c r="L29" i="40"/>
  <c r="I29" i="40"/>
  <c r="F29" i="40"/>
  <c r="AO28" i="40"/>
  <c r="AO24" i="40" s="1"/>
  <c r="AN28" i="40"/>
  <c r="AM28" i="40"/>
  <c r="AI28" i="40"/>
  <c r="AI24" i="40" s="1"/>
  <c r="AH28" i="40"/>
  <c r="AJ28" i="40" s="1"/>
  <c r="AF28" i="40"/>
  <c r="AF24" i="40" s="1"/>
  <c r="AE28" i="40"/>
  <c r="AG28" i="40" s="1"/>
  <c r="AC28" i="40"/>
  <c r="AB28" i="40"/>
  <c r="Z28" i="40"/>
  <c r="Y28" i="40"/>
  <c r="Y24" i="40" s="1"/>
  <c r="Y23" i="40" s="1"/>
  <c r="T28" i="40"/>
  <c r="S28" i="40"/>
  <c r="Q28" i="40"/>
  <c r="P28" i="40"/>
  <c r="N28" i="40"/>
  <c r="M28" i="40"/>
  <c r="O28" i="40" s="1"/>
  <c r="K28" i="40"/>
  <c r="J28" i="40"/>
  <c r="I28" i="40"/>
  <c r="H28" i="40"/>
  <c r="G28" i="40"/>
  <c r="E28" i="40"/>
  <c r="E24" i="40" s="1"/>
  <c r="D28" i="40"/>
  <c r="F28" i="40" s="1"/>
  <c r="AP27" i="40"/>
  <c r="AM27" i="40"/>
  <c r="AJ27" i="40"/>
  <c r="AG27" i="40"/>
  <c r="AD27" i="40"/>
  <c r="AA27" i="40"/>
  <c r="U27" i="40"/>
  <c r="R27" i="40"/>
  <c r="O27" i="40"/>
  <c r="L27" i="40"/>
  <c r="I27" i="40"/>
  <c r="F27" i="40"/>
  <c r="AP26" i="40"/>
  <c r="AM26" i="40"/>
  <c r="AJ26" i="40"/>
  <c r="AG26" i="40"/>
  <c r="AD26" i="40"/>
  <c r="AA26" i="40"/>
  <c r="U26" i="40"/>
  <c r="R26" i="40"/>
  <c r="O26" i="40"/>
  <c r="L26" i="40"/>
  <c r="I26" i="40"/>
  <c r="F26" i="40"/>
  <c r="AP25" i="40"/>
  <c r="AO25" i="40"/>
  <c r="AN25" i="40"/>
  <c r="AN24" i="40" s="1"/>
  <c r="AN23" i="40" s="1"/>
  <c r="AL25" i="40"/>
  <c r="AL24" i="40" s="1"/>
  <c r="AK25" i="40"/>
  <c r="AM25" i="40" s="1"/>
  <c r="AI25" i="40"/>
  <c r="AH25" i="40"/>
  <c r="AJ25" i="40" s="1"/>
  <c r="AJ24" i="40" s="1"/>
  <c r="AF25" i="40"/>
  <c r="AE25" i="40"/>
  <c r="AG25" i="40" s="1"/>
  <c r="AD25" i="40"/>
  <c r="AC25" i="40"/>
  <c r="AB25" i="40"/>
  <c r="AB24" i="40" s="1"/>
  <c r="Z25" i="40"/>
  <c r="Z24" i="40" s="1"/>
  <c r="Z23" i="40" s="1"/>
  <c r="Y25" i="40"/>
  <c r="T25" i="40"/>
  <c r="S25" i="40"/>
  <c r="U25" i="40" s="1"/>
  <c r="Q25" i="40"/>
  <c r="R25" i="40" s="1"/>
  <c r="P25" i="40"/>
  <c r="N25" i="40"/>
  <c r="N24" i="40" s="1"/>
  <c r="M25" i="40"/>
  <c r="M24" i="40" s="1"/>
  <c r="K25" i="40"/>
  <c r="J25" i="40"/>
  <c r="H25" i="40"/>
  <c r="H24" i="40" s="1"/>
  <c r="G25" i="40"/>
  <c r="E25" i="40"/>
  <c r="D25" i="40"/>
  <c r="F25" i="40" s="1"/>
  <c r="AH24" i="40"/>
  <c r="AE24" i="40"/>
  <c r="AE23" i="40" s="1"/>
  <c r="T24" i="40"/>
  <c r="T23" i="40" s="1"/>
  <c r="S24" i="40"/>
  <c r="S23" i="40" s="1"/>
  <c r="Q24" i="40"/>
  <c r="Q23" i="40" s="1"/>
  <c r="AP21" i="40"/>
  <c r="AM21" i="40"/>
  <c r="AJ21" i="40"/>
  <c r="AG21" i="40"/>
  <c r="AD21" i="40"/>
  <c r="AA21" i="40"/>
  <c r="U21" i="40"/>
  <c r="R21" i="40"/>
  <c r="O21" i="40"/>
  <c r="L21" i="40"/>
  <c r="I21" i="40"/>
  <c r="F21" i="40"/>
  <c r="AP20" i="40"/>
  <c r="AM20" i="40"/>
  <c r="AJ20" i="40"/>
  <c r="AG20" i="40"/>
  <c r="AD20" i="40"/>
  <c r="AA20" i="40"/>
  <c r="U20" i="40"/>
  <c r="R20" i="40"/>
  <c r="O20" i="40"/>
  <c r="L20" i="40"/>
  <c r="I20" i="40"/>
  <c r="F20" i="40"/>
  <c r="AP19" i="40"/>
  <c r="AM19" i="40"/>
  <c r="AJ19" i="40"/>
  <c r="AG19" i="40"/>
  <c r="AD19" i="40"/>
  <c r="AA19" i="40"/>
  <c r="U19" i="40"/>
  <c r="R19" i="40"/>
  <c r="R18" i="40" s="1"/>
  <c r="O19" i="40"/>
  <c r="L19" i="40"/>
  <c r="I19" i="40"/>
  <c r="F19" i="40"/>
  <c r="AO18" i="40"/>
  <c r="AN18" i="40"/>
  <c r="AL18" i="40"/>
  <c r="AK18" i="40"/>
  <c r="AI18" i="40"/>
  <c r="AH18" i="40"/>
  <c r="AF18" i="40"/>
  <c r="AE18" i="40"/>
  <c r="AC18" i="40"/>
  <c r="AB18" i="40"/>
  <c r="Z18" i="40"/>
  <c r="Y18" i="40"/>
  <c r="T18" i="40"/>
  <c r="S18" i="40"/>
  <c r="Q18" i="40"/>
  <c r="P18" i="40"/>
  <c r="N18" i="40"/>
  <c r="M18" i="40"/>
  <c r="K18" i="40"/>
  <c r="J18" i="40"/>
  <c r="H18" i="40"/>
  <c r="G18" i="40"/>
  <c r="E18" i="40"/>
  <c r="D18" i="40"/>
  <c r="AP16" i="40"/>
  <c r="AM16" i="40"/>
  <c r="AJ16" i="40"/>
  <c r="AG16" i="40"/>
  <c r="AD16" i="40"/>
  <c r="AA16" i="40"/>
  <c r="U16" i="40"/>
  <c r="R16" i="40"/>
  <c r="O16" i="40"/>
  <c r="L16" i="40"/>
  <c r="I16" i="40"/>
  <c r="I14" i="40" s="1"/>
  <c r="AP15" i="40"/>
  <c r="AP14" i="40" s="1"/>
  <c r="AM15" i="40"/>
  <c r="AM14" i="40" s="1"/>
  <c r="AJ15" i="40"/>
  <c r="AJ14" i="40" s="1"/>
  <c r="AG15" i="40"/>
  <c r="AG14" i="40" s="1"/>
  <c r="AD15" i="40"/>
  <c r="AD14" i="40" s="1"/>
  <c r="AA15" i="40"/>
  <c r="AA14" i="40" s="1"/>
  <c r="U15" i="40"/>
  <c r="U14" i="40" s="1"/>
  <c r="R15" i="40"/>
  <c r="R14" i="40" s="1"/>
  <c r="O15" i="40"/>
  <c r="O14" i="40" s="1"/>
  <c r="L15" i="40"/>
  <c r="I15" i="40"/>
  <c r="F15" i="40"/>
  <c r="F14" i="40" s="1"/>
  <c r="AO14" i="40"/>
  <c r="AN14" i="40"/>
  <c r="AL14" i="40"/>
  <c r="AK14" i="40"/>
  <c r="AI14" i="40"/>
  <c r="AH14" i="40"/>
  <c r="AF14" i="40"/>
  <c r="AE14" i="40"/>
  <c r="AC14" i="40"/>
  <c r="AB14" i="40"/>
  <c r="Z14" i="40"/>
  <c r="Y14" i="40"/>
  <c r="T14" i="40"/>
  <c r="S14" i="40"/>
  <c r="Q14" i="40"/>
  <c r="P14" i="40"/>
  <c r="N14" i="40"/>
  <c r="M14" i="40"/>
  <c r="K14" i="40"/>
  <c r="J14" i="40"/>
  <c r="H14" i="40"/>
  <c r="G14" i="40"/>
  <c r="E14" i="40"/>
  <c r="D14" i="40"/>
  <c r="AP12" i="40"/>
  <c r="AM12" i="40"/>
  <c r="AJ12" i="40"/>
  <c r="AG12" i="40"/>
  <c r="AD12" i="40"/>
  <c r="AA12" i="40"/>
  <c r="U12" i="40"/>
  <c r="O12" i="40"/>
  <c r="L12" i="40"/>
  <c r="I12" i="40"/>
  <c r="I11" i="40"/>
  <c r="AP10" i="40"/>
  <c r="AM10" i="40"/>
  <c r="AM8" i="40" s="1"/>
  <c r="AJ10" i="40"/>
  <c r="AG10" i="40"/>
  <c r="AG8" i="40" s="1"/>
  <c r="AG13" i="40" s="1"/>
  <c r="AD10" i="40"/>
  <c r="AD8" i="40" s="1"/>
  <c r="AD13" i="40" s="1"/>
  <c r="AA10" i="40"/>
  <c r="U10" i="40"/>
  <c r="R10" i="40"/>
  <c r="R8" i="40" s="1"/>
  <c r="R13" i="40" s="1"/>
  <c r="O10" i="40"/>
  <c r="L10" i="40"/>
  <c r="L8" i="40" s="1"/>
  <c r="I10" i="40"/>
  <c r="I8" i="40" s="1"/>
  <c r="AP9" i="40"/>
  <c r="AP8" i="40" s="1"/>
  <c r="AP13" i="40" s="1"/>
  <c r="AM9" i="40"/>
  <c r="AJ9" i="40"/>
  <c r="AG9" i="40"/>
  <c r="AA9" i="40"/>
  <c r="O9" i="40"/>
  <c r="I9" i="40"/>
  <c r="F9" i="40"/>
  <c r="F8" i="40" s="1"/>
  <c r="F13" i="40" s="1"/>
  <c r="AO8" i="40"/>
  <c r="AO13" i="40" s="1"/>
  <c r="AN8" i="40"/>
  <c r="AN13" i="40" s="1"/>
  <c r="AL8" i="40"/>
  <c r="AL13" i="40" s="1"/>
  <c r="AK8" i="40"/>
  <c r="AK13" i="40" s="1"/>
  <c r="AJ8" i="40"/>
  <c r="AJ13" i="40" s="1"/>
  <c r="AI8" i="40"/>
  <c r="AI13" i="40" s="1"/>
  <c r="AH8" i="40"/>
  <c r="AH13" i="40" s="1"/>
  <c r="AF8" i="40"/>
  <c r="AF13" i="40" s="1"/>
  <c r="AF17" i="40" s="1"/>
  <c r="AF22" i="40" s="1"/>
  <c r="AE8" i="40"/>
  <c r="AE13" i="40" s="1"/>
  <c r="AE17" i="40" s="1"/>
  <c r="AC8" i="40"/>
  <c r="AC13" i="40" s="1"/>
  <c r="AB8" i="40"/>
  <c r="AB13" i="40" s="1"/>
  <c r="Z8" i="40"/>
  <c r="Z13" i="40" s="1"/>
  <c r="Y8" i="40"/>
  <c r="Y13" i="40" s="1"/>
  <c r="U8" i="40"/>
  <c r="U13" i="40" s="1"/>
  <c r="T8" i="40"/>
  <c r="T13" i="40" s="1"/>
  <c r="S8" i="40"/>
  <c r="S13" i="40" s="1"/>
  <c r="S17" i="40" s="1"/>
  <c r="S22" i="40" s="1"/>
  <c r="Q8" i="40"/>
  <c r="Q13" i="40" s="1"/>
  <c r="Q17" i="40" s="1"/>
  <c r="Q22" i="40" s="1"/>
  <c r="P8" i="40"/>
  <c r="P13" i="40" s="1"/>
  <c r="N8" i="40"/>
  <c r="N13" i="40" s="1"/>
  <c r="M8" i="40"/>
  <c r="M13" i="40" s="1"/>
  <c r="K8" i="40"/>
  <c r="K13" i="40" s="1"/>
  <c r="J8" i="40"/>
  <c r="J13" i="40" s="1"/>
  <c r="H8" i="40"/>
  <c r="H13" i="40" s="1"/>
  <c r="G8" i="40"/>
  <c r="G13" i="40" s="1"/>
  <c r="E8" i="40"/>
  <c r="E13" i="40" s="1"/>
  <c r="E17" i="40" s="1"/>
  <c r="D8" i="40"/>
  <c r="D13" i="40" s="1"/>
  <c r="D17" i="40" s="1"/>
  <c r="AM24" i="40" l="1"/>
  <c r="AP34" i="40"/>
  <c r="AP31" i="40"/>
  <c r="AO23" i="40"/>
  <c r="AP18" i="40"/>
  <c r="AP17" i="40"/>
  <c r="AN17" i="40"/>
  <c r="AN22" i="40" s="1"/>
  <c r="AO17" i="40"/>
  <c r="AO22" i="40" s="1"/>
  <c r="AI17" i="40"/>
  <c r="AI22" i="40" s="1"/>
  <c r="AJ31" i="40"/>
  <c r="AI23" i="40"/>
  <c r="AH23" i="40"/>
  <c r="AJ17" i="40"/>
  <c r="AH17" i="40"/>
  <c r="AH22" i="40" s="1"/>
  <c r="AJ18" i="40"/>
  <c r="AM34" i="40"/>
  <c r="AL23" i="40"/>
  <c r="AL17" i="40"/>
  <c r="AL22" i="40" s="1"/>
  <c r="AK17" i="40"/>
  <c r="AK22" i="40" s="1"/>
  <c r="AM31" i="40"/>
  <c r="AM23" i="40"/>
  <c r="AK24" i="40"/>
  <c r="AK23" i="40" s="1"/>
  <c r="AM18" i="40"/>
  <c r="AM13" i="40"/>
  <c r="AM17" i="40" s="1"/>
  <c r="T17" i="40"/>
  <c r="T22" i="40" s="1"/>
  <c r="U28" i="40"/>
  <c r="U24" i="40" s="1"/>
  <c r="U23" i="40" s="1"/>
  <c r="U18" i="40"/>
  <c r="U17" i="40"/>
  <c r="R28" i="40"/>
  <c r="R24" i="40"/>
  <c r="R23" i="40" s="1"/>
  <c r="R17" i="40"/>
  <c r="R22" i="40" s="1"/>
  <c r="P17" i="40"/>
  <c r="P22" i="40" s="1"/>
  <c r="J24" i="40"/>
  <c r="J23" i="40" s="1"/>
  <c r="L28" i="40"/>
  <c r="K24" i="40"/>
  <c r="K23" i="40" s="1"/>
  <c r="L18" i="40"/>
  <c r="L14" i="40"/>
  <c r="J17" i="40"/>
  <c r="J22" i="40" s="1"/>
  <c r="K17" i="40"/>
  <c r="K22" i="40" s="1"/>
  <c r="L13" i="40"/>
  <c r="M23" i="40"/>
  <c r="N23" i="40"/>
  <c r="O18" i="40"/>
  <c r="M17" i="40"/>
  <c r="M22" i="40" s="1"/>
  <c r="N17" i="40"/>
  <c r="N22" i="40" s="1"/>
  <c r="O8" i="40"/>
  <c r="O13" i="40" s="1"/>
  <c r="O17" i="40" s="1"/>
  <c r="O22" i="40" s="1"/>
  <c r="Z17" i="40"/>
  <c r="AA18" i="40"/>
  <c r="Z22" i="40"/>
  <c r="Y17" i="40"/>
  <c r="Y22" i="40" s="1"/>
  <c r="AA8" i="40"/>
  <c r="AA13" i="40" s="1"/>
  <c r="AA17" i="40" s="1"/>
  <c r="AE22" i="40"/>
  <c r="AF23" i="40"/>
  <c r="AG24" i="40"/>
  <c r="AG23" i="40" s="1"/>
  <c r="AG18" i="40"/>
  <c r="AB23" i="40"/>
  <c r="AC24" i="40"/>
  <c r="AC23" i="40" s="1"/>
  <c r="AD28" i="40"/>
  <c r="AD24" i="40" s="1"/>
  <c r="AD23" i="40" s="1"/>
  <c r="AD18" i="40"/>
  <c r="AC17" i="40"/>
  <c r="AC22" i="40" s="1"/>
  <c r="AD17" i="40"/>
  <c r="AB17" i="40"/>
  <c r="AB22" i="40" s="1"/>
  <c r="E23" i="40"/>
  <c r="D22" i="40"/>
  <c r="E22" i="40"/>
  <c r="F18" i="40"/>
  <c r="F17" i="40"/>
  <c r="H23" i="40"/>
  <c r="I31" i="40"/>
  <c r="G24" i="40"/>
  <c r="G23" i="40" s="1"/>
  <c r="I18" i="40"/>
  <c r="G17" i="40"/>
  <c r="G22" i="40" s="1"/>
  <c r="H17" i="40"/>
  <c r="H22" i="40" s="1"/>
  <c r="I13" i="40"/>
  <c r="I17" i="40" s="1"/>
  <c r="U22" i="40"/>
  <c r="AG17" i="40"/>
  <c r="F24" i="40"/>
  <c r="F23" i="40" s="1"/>
  <c r="AJ23" i="40"/>
  <c r="AP28" i="40"/>
  <c r="AP24" i="40" s="1"/>
  <c r="AP23" i="40" s="1"/>
  <c r="P24" i="40"/>
  <c r="P23" i="40" s="1"/>
  <c r="I25" i="40"/>
  <c r="I24" i="40" s="1"/>
  <c r="I23" i="40" s="1"/>
  <c r="AA28" i="40"/>
  <c r="AA25" i="40"/>
  <c r="L25" i="40"/>
  <c r="L24" i="40" s="1"/>
  <c r="L23" i="40" s="1"/>
  <c r="D24" i="40"/>
  <c r="D23" i="40" s="1"/>
  <c r="O25" i="40"/>
  <c r="O24" i="40" s="1"/>
  <c r="O23" i="40" s="1"/>
  <c r="AP36" i="39"/>
  <c r="AP35" i="39"/>
  <c r="AO34" i="39"/>
  <c r="AN34" i="39"/>
  <c r="AP33" i="39"/>
  <c r="AP32" i="39"/>
  <c r="AO31" i="39"/>
  <c r="AN31" i="39"/>
  <c r="AP30" i="39"/>
  <c r="AP29" i="39"/>
  <c r="AO28" i="39"/>
  <c r="AN28" i="39"/>
  <c r="AP27" i="39"/>
  <c r="AP26" i="39"/>
  <c r="AO25" i="39"/>
  <c r="AN25" i="39"/>
  <c r="AP21" i="39"/>
  <c r="AP20" i="39"/>
  <c r="AP19" i="39"/>
  <c r="AO18" i="39"/>
  <c r="AN18" i="39"/>
  <c r="AP16" i="39"/>
  <c r="AP15" i="39"/>
  <c r="AP14" i="39" s="1"/>
  <c r="AO14" i="39"/>
  <c r="AN14" i="39"/>
  <c r="AP12" i="39"/>
  <c r="AP10" i="39"/>
  <c r="AP9" i="39"/>
  <c r="AP8" i="39" s="1"/>
  <c r="AP13" i="39" s="1"/>
  <c r="AO8" i="39"/>
  <c r="AO13" i="39" s="1"/>
  <c r="AO17" i="39" s="1"/>
  <c r="AN8" i="39"/>
  <c r="AN13" i="39" s="1"/>
  <c r="AP36" i="38"/>
  <c r="AP35" i="38"/>
  <c r="AP34" i="38"/>
  <c r="AO34" i="38"/>
  <c r="AN34" i="38"/>
  <c r="AP33" i="38"/>
  <c r="AP32" i="38"/>
  <c r="AP31" i="38"/>
  <c r="AO31" i="38"/>
  <c r="AN31" i="38"/>
  <c r="AP30" i="38"/>
  <c r="AP29" i="38"/>
  <c r="AO28" i="38"/>
  <c r="AO24" i="38" s="1"/>
  <c r="AO23" i="38" s="1"/>
  <c r="AN28" i="38"/>
  <c r="AN24" i="38" s="1"/>
  <c r="AN23" i="38" s="1"/>
  <c r="AP27" i="38"/>
  <c r="AP26" i="38"/>
  <c r="AO25" i="38"/>
  <c r="AN25" i="38"/>
  <c r="AP25" i="38" s="1"/>
  <c r="AP21" i="38"/>
  <c r="AP20" i="38"/>
  <c r="AP19" i="38"/>
  <c r="AP18" i="38" s="1"/>
  <c r="AO18" i="38"/>
  <c r="AN18" i="38"/>
  <c r="AP16" i="38"/>
  <c r="AP15" i="38"/>
  <c r="AP14" i="38"/>
  <c r="AO14" i="38"/>
  <c r="AN14" i="38"/>
  <c r="AO13" i="38"/>
  <c r="AO17" i="38" s="1"/>
  <c r="AO22" i="38" s="1"/>
  <c r="AN13" i="38"/>
  <c r="AN17" i="38" s="1"/>
  <c r="AN22" i="38" s="1"/>
  <c r="AP12" i="38"/>
  <c r="AP10" i="38"/>
  <c r="AO9" i="38"/>
  <c r="AN9" i="38"/>
  <c r="AP9" i="38" s="1"/>
  <c r="AP8" i="38" s="1"/>
  <c r="AP13" i="38" s="1"/>
  <c r="AP17" i="38" s="1"/>
  <c r="AO8" i="38"/>
  <c r="AN8" i="38"/>
  <c r="AP22" i="40" l="1"/>
  <c r="AJ22" i="40"/>
  <c r="AM22" i="40"/>
  <c r="L17" i="40"/>
  <c r="L22" i="40" s="1"/>
  <c r="AA24" i="40"/>
  <c r="AA23" i="40" s="1"/>
  <c r="AA22" i="40"/>
  <c r="AG22" i="40"/>
  <c r="AD22" i="40"/>
  <c r="F22" i="40"/>
  <c r="I22" i="40"/>
  <c r="AO24" i="39"/>
  <c r="AP25" i="39"/>
  <c r="AP17" i="39"/>
  <c r="AN17" i="39"/>
  <c r="AN22" i="39" s="1"/>
  <c r="AP18" i="39"/>
  <c r="AO22" i="39"/>
  <c r="AP28" i="39"/>
  <c r="AP31" i="39"/>
  <c r="AP34" i="39"/>
  <c r="AO23" i="39"/>
  <c r="AP24" i="39"/>
  <c r="AP23" i="39" s="1"/>
  <c r="AN24" i="39"/>
  <c r="AN23" i="39" s="1"/>
  <c r="AP22" i="38"/>
  <c r="AP28" i="38"/>
  <c r="AP24" i="38" s="1"/>
  <c r="AP23" i="38" s="1"/>
  <c r="P11" i="45"/>
  <c r="P11" i="24"/>
  <c r="AP22" i="39" l="1"/>
  <c r="P15" i="48"/>
  <c r="O15" i="48"/>
  <c r="N15" i="48"/>
  <c r="M15" i="48"/>
  <c r="L15" i="48"/>
  <c r="K15" i="48"/>
  <c r="J15" i="48"/>
  <c r="I15" i="48"/>
  <c r="H15" i="48"/>
  <c r="G15" i="48"/>
  <c r="F15" i="48"/>
  <c r="E15" i="48"/>
  <c r="D15" i="48"/>
  <c r="P8" i="48"/>
  <c r="O8" i="48"/>
  <c r="N8" i="48"/>
  <c r="M8" i="48"/>
  <c r="L8" i="48"/>
  <c r="K8" i="48"/>
  <c r="J8" i="48"/>
  <c r="I8" i="48"/>
  <c r="H8" i="48"/>
  <c r="G8" i="48"/>
  <c r="F8" i="48"/>
  <c r="E8" i="48"/>
  <c r="D8" i="48"/>
  <c r="B6" i="48"/>
  <c r="C6" i="48" s="1"/>
  <c r="D6" i="48" s="1"/>
  <c r="E6" i="48" s="1"/>
  <c r="F6" i="48" s="1"/>
  <c r="G6" i="48" s="1"/>
  <c r="H6" i="48" s="1"/>
  <c r="I6" i="48" s="1"/>
  <c r="J6" i="48" s="1"/>
  <c r="K6" i="48" s="1"/>
  <c r="L6" i="48" s="1"/>
  <c r="M6" i="48" s="1"/>
  <c r="N6" i="48" s="1"/>
  <c r="O6" i="48" s="1"/>
  <c r="P6" i="48" s="1"/>
  <c r="E15" i="47"/>
  <c r="P15" i="47"/>
  <c r="O15" i="47"/>
  <c r="N15" i="47"/>
  <c r="M15" i="47"/>
  <c r="L15" i="47"/>
  <c r="K15" i="47"/>
  <c r="J15" i="47"/>
  <c r="I15" i="47"/>
  <c r="H15" i="47"/>
  <c r="G15" i="47"/>
  <c r="F15" i="47"/>
  <c r="D15" i="47"/>
  <c r="P8" i="47"/>
  <c r="O8" i="47"/>
  <c r="N8" i="47"/>
  <c r="M8" i="47"/>
  <c r="L8" i="47"/>
  <c r="K8" i="47"/>
  <c r="J8" i="47"/>
  <c r="I8" i="47"/>
  <c r="H8" i="47"/>
  <c r="G8" i="47"/>
  <c r="F8" i="47"/>
  <c r="E8" i="47"/>
  <c r="D8" i="47"/>
  <c r="B6" i="47"/>
  <c r="C6" i="47" s="1"/>
  <c r="D6" i="47" s="1"/>
  <c r="E6" i="47" s="1"/>
  <c r="F6" i="47" s="1"/>
  <c r="G6" i="47" s="1"/>
  <c r="H6" i="47" s="1"/>
  <c r="I6" i="47" s="1"/>
  <c r="J6" i="47" s="1"/>
  <c r="K6" i="47" s="1"/>
  <c r="L6" i="47" s="1"/>
  <c r="M6" i="47" s="1"/>
  <c r="N6" i="47" s="1"/>
  <c r="O6" i="47" s="1"/>
  <c r="P6" i="47" s="1"/>
  <c r="O22" i="46"/>
  <c r="M22" i="46"/>
  <c r="G22" i="46"/>
  <c r="F22" i="46"/>
  <c r="E22" i="46"/>
  <c r="D22" i="46"/>
  <c r="P19" i="46"/>
  <c r="O19" i="46"/>
  <c r="N19" i="46"/>
  <c r="M19" i="46"/>
  <c r="L19" i="46"/>
  <c r="K19" i="46"/>
  <c r="J19" i="46"/>
  <c r="I19" i="46"/>
  <c r="H19" i="46"/>
  <c r="G19" i="46"/>
  <c r="F19" i="46"/>
  <c r="E19" i="46"/>
  <c r="D19" i="46"/>
  <c r="E17" i="46"/>
  <c r="E15" i="46" s="1"/>
  <c r="P15" i="46"/>
  <c r="O15" i="46"/>
  <c r="N15" i="46"/>
  <c r="M15" i="46"/>
  <c r="L15" i="46"/>
  <c r="K15" i="46"/>
  <c r="J15" i="46"/>
  <c r="I15" i="46"/>
  <c r="H15" i="46"/>
  <c r="G15" i="46"/>
  <c r="F15" i="46"/>
  <c r="D15" i="46"/>
  <c r="P8" i="46"/>
  <c r="O8" i="46"/>
  <c r="N8" i="46"/>
  <c r="M8" i="46"/>
  <c r="L8" i="46"/>
  <c r="K8" i="46"/>
  <c r="J8" i="46"/>
  <c r="I8" i="46"/>
  <c r="H8" i="46"/>
  <c r="G8" i="46"/>
  <c r="F8" i="46"/>
  <c r="E8" i="46"/>
  <c r="D8" i="46"/>
  <c r="B6" i="46"/>
  <c r="C6" i="46" s="1"/>
  <c r="D6" i="46" s="1"/>
  <c r="E6" i="46" s="1"/>
  <c r="F6" i="46" s="1"/>
  <c r="G6" i="46" s="1"/>
  <c r="H6" i="46" s="1"/>
  <c r="I6" i="46" s="1"/>
  <c r="J6" i="46" s="1"/>
  <c r="K6" i="46" s="1"/>
  <c r="L6" i="46" s="1"/>
  <c r="M6" i="46" s="1"/>
  <c r="N6" i="46" s="1"/>
  <c r="O6" i="46" s="1"/>
  <c r="P6" i="46" s="1"/>
  <c r="O22" i="45"/>
  <c r="M22" i="45"/>
  <c r="G22" i="45"/>
  <c r="F22" i="45"/>
  <c r="E22" i="45"/>
  <c r="D22" i="45"/>
  <c r="P19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E17" i="45"/>
  <c r="E15" i="45" s="1"/>
  <c r="P15" i="45"/>
  <c r="O15" i="45"/>
  <c r="N15" i="45"/>
  <c r="M15" i="45"/>
  <c r="L15" i="45"/>
  <c r="K15" i="45"/>
  <c r="J15" i="45"/>
  <c r="I15" i="45"/>
  <c r="H15" i="45"/>
  <c r="G15" i="45"/>
  <c r="F15" i="45"/>
  <c r="D15" i="45"/>
  <c r="O11" i="45"/>
  <c r="N11" i="45"/>
  <c r="M11" i="45"/>
  <c r="L11" i="45"/>
  <c r="K11" i="45"/>
  <c r="J11" i="45"/>
  <c r="I11" i="45"/>
  <c r="H11" i="45"/>
  <c r="G11" i="45"/>
  <c r="F11" i="45"/>
  <c r="E11" i="45"/>
  <c r="D11" i="45"/>
  <c r="P8" i="45"/>
  <c r="O8" i="45"/>
  <c r="N8" i="45"/>
  <c r="M8" i="45"/>
  <c r="L8" i="45"/>
  <c r="K8" i="45"/>
  <c r="J8" i="45"/>
  <c r="I8" i="45"/>
  <c r="H8" i="45"/>
  <c r="G8" i="45"/>
  <c r="F8" i="45"/>
  <c r="E8" i="45"/>
  <c r="D8" i="45"/>
  <c r="B6" i="45"/>
  <c r="C6" i="45" s="1"/>
  <c r="D6" i="45" s="1"/>
  <c r="E6" i="45" s="1"/>
  <c r="F6" i="45" s="1"/>
  <c r="G6" i="45" s="1"/>
  <c r="H6" i="45" s="1"/>
  <c r="I6" i="45" s="1"/>
  <c r="J6" i="45" s="1"/>
  <c r="K6" i="45" s="1"/>
  <c r="L6" i="45" s="1"/>
  <c r="M6" i="45" s="1"/>
  <c r="N6" i="45" s="1"/>
  <c r="O6" i="45" s="1"/>
  <c r="P6" i="45" s="1"/>
  <c r="E17" i="24"/>
  <c r="D8" i="24"/>
  <c r="E8" i="24"/>
  <c r="F8" i="24"/>
  <c r="G8" i="24"/>
  <c r="H8" i="24"/>
  <c r="I8" i="24"/>
  <c r="J8" i="24"/>
  <c r="K8" i="24"/>
  <c r="L8" i="24"/>
  <c r="M8" i="24"/>
  <c r="N8" i="24"/>
  <c r="O8" i="24"/>
  <c r="P8" i="24"/>
  <c r="C18" i="44"/>
  <c r="D18" i="44" s="1"/>
  <c r="E18" i="44" s="1"/>
  <c r="F18" i="44" s="1"/>
  <c r="G18" i="44" s="1"/>
  <c r="H18" i="44" s="1"/>
  <c r="I18" i="44" s="1"/>
  <c r="B7" i="42" l="1"/>
  <c r="C7" i="42" s="1"/>
  <c r="D7" i="42" s="1"/>
  <c r="E7" i="42" s="1"/>
  <c r="F7" i="42" s="1"/>
  <c r="G7" i="42" s="1"/>
  <c r="H7" i="42" s="1"/>
  <c r="I7" i="42" s="1"/>
  <c r="J7" i="42" s="1"/>
  <c r="K7" i="42" s="1"/>
  <c r="L7" i="42" s="1"/>
  <c r="M7" i="42" s="1"/>
  <c r="N7" i="42" s="1"/>
  <c r="O7" i="42" s="1"/>
  <c r="P7" i="42" s="1"/>
  <c r="Q7" i="42" s="1"/>
  <c r="R7" i="42" s="1"/>
  <c r="S7" i="42" s="1"/>
  <c r="T7" i="42" s="1"/>
  <c r="U7" i="42" s="1"/>
  <c r="V7" i="42" s="1"/>
  <c r="W7" i="42" s="1"/>
  <c r="X7" i="42" s="1"/>
  <c r="Y7" i="42" s="1"/>
  <c r="Z7" i="42" s="1"/>
  <c r="AA7" i="42" s="1"/>
  <c r="AB7" i="42" s="1"/>
  <c r="AC7" i="42" s="1"/>
  <c r="AD7" i="42" s="1"/>
  <c r="AE7" i="42" s="1"/>
  <c r="AF7" i="42" s="1"/>
  <c r="AG7" i="42" s="1"/>
  <c r="AH7" i="42" s="1"/>
  <c r="AI7" i="42" s="1"/>
  <c r="AJ7" i="42" s="1"/>
  <c r="AK7" i="42" s="1"/>
  <c r="AL7" i="42" s="1"/>
  <c r="AM7" i="42" s="1"/>
  <c r="AN7" i="42" s="1"/>
  <c r="AO7" i="42" s="1"/>
  <c r="AP7" i="42" s="1"/>
  <c r="B7" i="41"/>
  <c r="C7" i="41" s="1"/>
  <c r="D7" i="41" s="1"/>
  <c r="E7" i="41" s="1"/>
  <c r="F7" i="41" s="1"/>
  <c r="G7" i="41" s="1"/>
  <c r="H7" i="41" s="1"/>
  <c r="I7" i="41" s="1"/>
  <c r="J7" i="41" s="1"/>
  <c r="K7" i="41" s="1"/>
  <c r="L7" i="41" s="1"/>
  <c r="M7" i="41" s="1"/>
  <c r="N7" i="41" s="1"/>
  <c r="O7" i="41" s="1"/>
  <c r="P7" i="41" s="1"/>
  <c r="Q7" i="41" s="1"/>
  <c r="R7" i="41" s="1"/>
  <c r="S7" i="41" s="1"/>
  <c r="T7" i="41" s="1"/>
  <c r="U7" i="41" s="1"/>
  <c r="V7" i="41" s="1"/>
  <c r="W7" i="41" s="1"/>
  <c r="X7" i="41" s="1"/>
  <c r="Y7" i="41" s="1"/>
  <c r="Z7" i="41" s="1"/>
  <c r="AA7" i="41" s="1"/>
  <c r="AB7" i="41" s="1"/>
  <c r="AC7" i="41" s="1"/>
  <c r="AD7" i="41" s="1"/>
  <c r="AE7" i="41" s="1"/>
  <c r="AF7" i="41" s="1"/>
  <c r="AG7" i="41" s="1"/>
  <c r="AH7" i="41" s="1"/>
  <c r="AI7" i="41" s="1"/>
  <c r="AJ7" i="41" s="1"/>
  <c r="AK7" i="41" s="1"/>
  <c r="AL7" i="41" s="1"/>
  <c r="AM7" i="41" s="1"/>
  <c r="AN7" i="41" s="1"/>
  <c r="AO7" i="41" s="1"/>
  <c r="AP7" i="41" s="1"/>
  <c r="AM38" i="40"/>
  <c r="AG38" i="40"/>
  <c r="B7" i="40"/>
  <c r="C7" i="40" s="1"/>
  <c r="AM36" i="39"/>
  <c r="AJ36" i="39"/>
  <c r="AG36" i="39"/>
  <c r="AG34" i="39" s="1"/>
  <c r="AD36" i="39"/>
  <c r="AA36" i="39"/>
  <c r="X36" i="39"/>
  <c r="U36" i="39"/>
  <c r="R36" i="39"/>
  <c r="O36" i="39"/>
  <c r="L36" i="39"/>
  <c r="I36" i="39"/>
  <c r="F36" i="39"/>
  <c r="AM35" i="39"/>
  <c r="AJ35" i="39"/>
  <c r="AG35" i="39"/>
  <c r="AD35" i="39"/>
  <c r="AA35" i="39"/>
  <c r="X35" i="39"/>
  <c r="U35" i="39"/>
  <c r="R35" i="39"/>
  <c r="O35" i="39"/>
  <c r="L35" i="39"/>
  <c r="I35" i="39"/>
  <c r="F35" i="39"/>
  <c r="F34" i="39" s="1"/>
  <c r="AL34" i="39"/>
  <c r="AK34" i="39"/>
  <c r="AI34" i="39"/>
  <c r="AH34" i="39"/>
  <c r="AF34" i="39"/>
  <c r="AE34" i="39"/>
  <c r="AC34" i="39"/>
  <c r="AB34" i="39"/>
  <c r="Z34" i="39"/>
  <c r="Y34" i="39"/>
  <c r="W34" i="39"/>
  <c r="V34" i="39"/>
  <c r="T34" i="39"/>
  <c r="S34" i="39"/>
  <c r="Q34" i="39"/>
  <c r="P34" i="39"/>
  <c r="N34" i="39"/>
  <c r="M34" i="39"/>
  <c r="L34" i="39"/>
  <c r="K34" i="39"/>
  <c r="J34" i="39"/>
  <c r="H34" i="39"/>
  <c r="G34" i="39"/>
  <c r="E34" i="39"/>
  <c r="D34" i="39"/>
  <c r="AM33" i="39"/>
  <c r="AJ33" i="39"/>
  <c r="AG33" i="39"/>
  <c r="AD33" i="39"/>
  <c r="AA33" i="39"/>
  <c r="X33" i="39"/>
  <c r="U33" i="39"/>
  <c r="R33" i="39"/>
  <c r="O33" i="39"/>
  <c r="L33" i="39"/>
  <c r="I33" i="39"/>
  <c r="F33" i="39"/>
  <c r="AM32" i="39"/>
  <c r="AJ32" i="39"/>
  <c r="AG32" i="39"/>
  <c r="AD32" i="39"/>
  <c r="AA32" i="39"/>
  <c r="X32" i="39"/>
  <c r="U32" i="39"/>
  <c r="R32" i="39"/>
  <c r="O32" i="39"/>
  <c r="L32" i="39"/>
  <c r="L31" i="39" s="1"/>
  <c r="I32" i="39"/>
  <c r="F32" i="39"/>
  <c r="F31" i="39" s="1"/>
  <c r="AL31" i="39"/>
  <c r="AK31" i="39"/>
  <c r="AI31" i="39"/>
  <c r="AH31" i="39"/>
  <c r="AF31" i="39"/>
  <c r="AE31" i="39"/>
  <c r="AC31" i="39"/>
  <c r="AB31" i="39"/>
  <c r="Z31" i="39"/>
  <c r="Y31" i="39"/>
  <c r="W31" i="39"/>
  <c r="V31" i="39"/>
  <c r="T31" i="39"/>
  <c r="S31" i="39"/>
  <c r="Q31" i="39"/>
  <c r="P31" i="39"/>
  <c r="O31" i="39"/>
  <c r="N31" i="39"/>
  <c r="M31" i="39"/>
  <c r="K31" i="39"/>
  <c r="J31" i="39"/>
  <c r="H31" i="39"/>
  <c r="G31" i="39"/>
  <c r="E31" i="39"/>
  <c r="D31" i="39"/>
  <c r="AM30" i="39"/>
  <c r="AJ30" i="39"/>
  <c r="AG30" i="39"/>
  <c r="AD30" i="39"/>
  <c r="AA30" i="39"/>
  <c r="U30" i="39"/>
  <c r="R30" i="39"/>
  <c r="O30" i="39"/>
  <c r="L30" i="39"/>
  <c r="I30" i="39"/>
  <c r="F30" i="39"/>
  <c r="AM29" i="39"/>
  <c r="AJ29" i="39"/>
  <c r="AG29" i="39"/>
  <c r="AD29" i="39"/>
  <c r="AA29" i="39"/>
  <c r="U29" i="39"/>
  <c r="R29" i="39"/>
  <c r="O29" i="39"/>
  <c r="L29" i="39"/>
  <c r="I29" i="39"/>
  <c r="F29" i="39"/>
  <c r="AL28" i="39"/>
  <c r="AK28" i="39"/>
  <c r="AM28" i="39" s="1"/>
  <c r="AI28" i="39"/>
  <c r="AH28" i="39"/>
  <c r="AJ28" i="39" s="1"/>
  <c r="AF28" i="39"/>
  <c r="AF24" i="39" s="1"/>
  <c r="AE28" i="39"/>
  <c r="AC28" i="39"/>
  <c r="AD28" i="39" s="1"/>
  <c r="AB28" i="39"/>
  <c r="Z28" i="39"/>
  <c r="AA28" i="39" s="1"/>
  <c r="Y28" i="39"/>
  <c r="T28" i="39"/>
  <c r="S28" i="39"/>
  <c r="U28" i="39" s="1"/>
  <c r="Q28" i="39"/>
  <c r="P28" i="39"/>
  <c r="N28" i="39"/>
  <c r="M28" i="39"/>
  <c r="O28" i="39" s="1"/>
  <c r="K28" i="39"/>
  <c r="J28" i="39"/>
  <c r="H28" i="39"/>
  <c r="G28" i="39"/>
  <c r="I28" i="39" s="1"/>
  <c r="E28" i="39"/>
  <c r="D28" i="39"/>
  <c r="AM27" i="39"/>
  <c r="AJ27" i="39"/>
  <c r="AG27" i="39"/>
  <c r="AD27" i="39"/>
  <c r="AA27" i="39"/>
  <c r="X27" i="39"/>
  <c r="U27" i="39"/>
  <c r="R27" i="39"/>
  <c r="O27" i="39"/>
  <c r="L27" i="39"/>
  <c r="I27" i="39"/>
  <c r="F27" i="39"/>
  <c r="AM26" i="39"/>
  <c r="AJ26" i="39"/>
  <c r="AG26" i="39"/>
  <c r="AD26" i="39"/>
  <c r="AA26" i="39"/>
  <c r="X26" i="39"/>
  <c r="U26" i="39"/>
  <c r="R26" i="39"/>
  <c r="O26" i="39"/>
  <c r="L26" i="39"/>
  <c r="I26" i="39"/>
  <c r="F26" i="39"/>
  <c r="AL25" i="39"/>
  <c r="AK25" i="39"/>
  <c r="AI25" i="39"/>
  <c r="AH25" i="39"/>
  <c r="AF25" i="39"/>
  <c r="AE25" i="39"/>
  <c r="AG25" i="39" s="1"/>
  <c r="AC25" i="39"/>
  <c r="AB25" i="39"/>
  <c r="AD25" i="39" s="1"/>
  <c r="Z25" i="39"/>
  <c r="Y25" i="39"/>
  <c r="AA25" i="39" s="1"/>
  <c r="W25" i="39"/>
  <c r="V25" i="39"/>
  <c r="T25" i="39"/>
  <c r="T24" i="39" s="1"/>
  <c r="S25" i="39"/>
  <c r="S24" i="39" s="1"/>
  <c r="S23" i="39" s="1"/>
  <c r="Q25" i="39"/>
  <c r="P25" i="39"/>
  <c r="R25" i="39" s="1"/>
  <c r="N25" i="39"/>
  <c r="N24" i="39" s="1"/>
  <c r="N23" i="39" s="1"/>
  <c r="M25" i="39"/>
  <c r="K25" i="39"/>
  <c r="J25" i="39"/>
  <c r="H25" i="39"/>
  <c r="H24" i="39" s="1"/>
  <c r="G25" i="39"/>
  <c r="I25" i="39" s="1"/>
  <c r="E25" i="39"/>
  <c r="D25" i="39"/>
  <c r="AE24" i="39"/>
  <c r="AC24" i="39"/>
  <c r="AC23" i="39" s="1"/>
  <c r="AB24" i="39"/>
  <c r="AB23" i="39" s="1"/>
  <c r="Z24" i="39"/>
  <c r="Z23" i="39" s="1"/>
  <c r="Y24" i="39"/>
  <c r="Y23" i="39" s="1"/>
  <c r="M24" i="39"/>
  <c r="K24" i="39"/>
  <c r="AM21" i="39"/>
  <c r="AJ21" i="39"/>
  <c r="AG21" i="39"/>
  <c r="AD21" i="39"/>
  <c r="AA21" i="39"/>
  <c r="X21" i="39"/>
  <c r="U21" i="39"/>
  <c r="R21" i="39"/>
  <c r="O21" i="39"/>
  <c r="L21" i="39"/>
  <c r="I21" i="39"/>
  <c r="F21" i="39"/>
  <c r="AM20" i="39"/>
  <c r="AJ20" i="39"/>
  <c r="AG20" i="39"/>
  <c r="AD20" i="39"/>
  <c r="AA20" i="39"/>
  <c r="X20" i="39"/>
  <c r="U20" i="39"/>
  <c r="R20" i="39"/>
  <c r="O20" i="39"/>
  <c r="L20" i="39"/>
  <c r="I20" i="39"/>
  <c r="F20" i="39"/>
  <c r="AM19" i="39"/>
  <c r="AJ19" i="39"/>
  <c r="AG19" i="39"/>
  <c r="AD19" i="39"/>
  <c r="AA19" i="39"/>
  <c r="X19" i="39"/>
  <c r="U19" i="39"/>
  <c r="R19" i="39"/>
  <c r="O19" i="39"/>
  <c r="L19" i="39"/>
  <c r="I19" i="39"/>
  <c r="F19" i="39"/>
  <c r="AL18" i="39"/>
  <c r="AK18" i="39"/>
  <c r="AI18" i="39"/>
  <c r="AH18" i="39"/>
  <c r="AF18" i="39"/>
  <c r="AE18" i="39"/>
  <c r="AC18" i="39"/>
  <c r="AB18" i="39"/>
  <c r="Z18" i="39"/>
  <c r="Y18" i="39"/>
  <c r="W18" i="39"/>
  <c r="V18" i="39"/>
  <c r="T18" i="39"/>
  <c r="S18" i="39"/>
  <c r="Q18" i="39"/>
  <c r="P18" i="39"/>
  <c r="N18" i="39"/>
  <c r="M18" i="39"/>
  <c r="K18" i="39"/>
  <c r="J18" i="39"/>
  <c r="H18" i="39"/>
  <c r="G18" i="39"/>
  <c r="E18" i="39"/>
  <c r="D18" i="39"/>
  <c r="AM16" i="39"/>
  <c r="AJ16" i="39"/>
  <c r="AJ14" i="39" s="1"/>
  <c r="AG16" i="39"/>
  <c r="AG14" i="39" s="1"/>
  <c r="AD16" i="39"/>
  <c r="AD14" i="39" s="1"/>
  <c r="AA16" i="39"/>
  <c r="X16" i="39"/>
  <c r="U16" i="39"/>
  <c r="R16" i="39"/>
  <c r="O16" i="39"/>
  <c r="L16" i="39"/>
  <c r="I16" i="39"/>
  <c r="AM15" i="39"/>
  <c r="AJ15" i="39"/>
  <c r="AG15" i="39"/>
  <c r="AD15" i="39"/>
  <c r="AA15" i="39"/>
  <c r="X15" i="39"/>
  <c r="U15" i="39"/>
  <c r="R15" i="39"/>
  <c r="R14" i="39" s="1"/>
  <c r="O15" i="39"/>
  <c r="O14" i="39" s="1"/>
  <c r="L15" i="39"/>
  <c r="L14" i="39" s="1"/>
  <c r="I15" i="39"/>
  <c r="F15" i="39"/>
  <c r="AL14" i="39"/>
  <c r="AK14" i="39"/>
  <c r="AI14" i="39"/>
  <c r="AH14" i="39"/>
  <c r="AF14" i="39"/>
  <c r="AE14" i="39"/>
  <c r="AC14" i="39"/>
  <c r="AB14" i="39"/>
  <c r="Z14" i="39"/>
  <c r="Y14" i="39"/>
  <c r="W14" i="39"/>
  <c r="V14" i="39"/>
  <c r="T14" i="39"/>
  <c r="S14" i="39"/>
  <c r="Q14" i="39"/>
  <c r="P14" i="39"/>
  <c r="N14" i="39"/>
  <c r="M14" i="39"/>
  <c r="K14" i="39"/>
  <c r="J14" i="39"/>
  <c r="I14" i="39"/>
  <c r="H14" i="39"/>
  <c r="G14" i="39"/>
  <c r="F14" i="39"/>
  <c r="E14" i="39"/>
  <c r="D14" i="39"/>
  <c r="AI13" i="39"/>
  <c r="AI17" i="39" s="1"/>
  <c r="AI22" i="39" s="1"/>
  <c r="AF13" i="39"/>
  <c r="AF17" i="39" s="1"/>
  <c r="AM12" i="39"/>
  <c r="AJ12" i="39"/>
  <c r="AG12" i="39"/>
  <c r="AD12" i="39"/>
  <c r="AA12" i="39"/>
  <c r="X12" i="39"/>
  <c r="U12" i="39"/>
  <c r="O12" i="39"/>
  <c r="L12" i="39"/>
  <c r="I12" i="39"/>
  <c r="I11" i="39"/>
  <c r="AM10" i="39"/>
  <c r="AJ10" i="39"/>
  <c r="AG10" i="39"/>
  <c r="AG8" i="39" s="1"/>
  <c r="AG13" i="39" s="1"/>
  <c r="AD10" i="39"/>
  <c r="AD8" i="39" s="1"/>
  <c r="AA10" i="39"/>
  <c r="X10" i="39"/>
  <c r="X8" i="39" s="1"/>
  <c r="X13" i="39" s="1"/>
  <c r="U10" i="39"/>
  <c r="U8" i="39" s="1"/>
  <c r="R10" i="39"/>
  <c r="R8" i="39" s="1"/>
  <c r="P8" i="39"/>
  <c r="P13" i="39" s="1"/>
  <c r="O10" i="39"/>
  <c r="L10" i="39"/>
  <c r="L8" i="39" s="1"/>
  <c r="I10" i="39"/>
  <c r="AM9" i="39"/>
  <c r="AJ9" i="39"/>
  <c r="AG9" i="39"/>
  <c r="AA9" i="39"/>
  <c r="X9" i="39"/>
  <c r="O9" i="39"/>
  <c r="O8" i="39" s="1"/>
  <c r="I9" i="39"/>
  <c r="F9" i="39"/>
  <c r="F8" i="39" s="1"/>
  <c r="F13" i="39" s="1"/>
  <c r="AL8" i="39"/>
  <c r="AL13" i="39" s="1"/>
  <c r="AK8" i="39"/>
  <c r="AK13" i="39" s="1"/>
  <c r="AI8" i="39"/>
  <c r="AH8" i="39"/>
  <c r="AH13" i="39" s="1"/>
  <c r="AF8" i="39"/>
  <c r="AE8" i="39"/>
  <c r="AE13" i="39" s="1"/>
  <c r="AC8" i="39"/>
  <c r="AC13" i="39" s="1"/>
  <c r="AB8" i="39"/>
  <c r="AB13" i="39" s="1"/>
  <c r="Z8" i="39"/>
  <c r="Z13" i="39" s="1"/>
  <c r="Y8" i="39"/>
  <c r="Y13" i="39" s="1"/>
  <c r="W8" i="39"/>
  <c r="W13" i="39" s="1"/>
  <c r="V8" i="39"/>
  <c r="V13" i="39" s="1"/>
  <c r="T8" i="39"/>
  <c r="T13" i="39" s="1"/>
  <c r="S8" i="39"/>
  <c r="S13" i="39" s="1"/>
  <c r="Q8" i="39"/>
  <c r="Q13" i="39" s="1"/>
  <c r="Q17" i="39" s="1"/>
  <c r="Q22" i="39" s="1"/>
  <c r="N8" i="39"/>
  <c r="N13" i="39" s="1"/>
  <c r="M8" i="39"/>
  <c r="M13" i="39" s="1"/>
  <c r="K8" i="39"/>
  <c r="K13" i="39" s="1"/>
  <c r="K17" i="39" s="1"/>
  <c r="J8" i="39"/>
  <c r="J13" i="39" s="1"/>
  <c r="H8" i="39"/>
  <c r="H13" i="39" s="1"/>
  <c r="G8" i="39"/>
  <c r="G13" i="39" s="1"/>
  <c r="E8" i="39"/>
  <c r="E13" i="39" s="1"/>
  <c r="D8" i="39"/>
  <c r="D13" i="39" s="1"/>
  <c r="B7" i="39"/>
  <c r="C7" i="39" s="1"/>
  <c r="D7" i="39" s="1"/>
  <c r="E7" i="39" s="1"/>
  <c r="F7" i="39" s="1"/>
  <c r="G7" i="39" s="1"/>
  <c r="H7" i="39" s="1"/>
  <c r="I7" i="39" s="1"/>
  <c r="J7" i="39" s="1"/>
  <c r="K7" i="39" s="1"/>
  <c r="L7" i="39" s="1"/>
  <c r="M7" i="39" s="1"/>
  <c r="N7" i="39" s="1"/>
  <c r="O7" i="39" s="1"/>
  <c r="P7" i="39" s="1"/>
  <c r="Q7" i="39" s="1"/>
  <c r="R7" i="39" s="1"/>
  <c r="S7" i="39" s="1"/>
  <c r="T7" i="39" s="1"/>
  <c r="U7" i="39" s="1"/>
  <c r="V7" i="39" s="1"/>
  <c r="W7" i="39" s="1"/>
  <c r="X7" i="39" s="1"/>
  <c r="Y7" i="39" s="1"/>
  <c r="Z7" i="39" s="1"/>
  <c r="AA7" i="39" s="1"/>
  <c r="AB7" i="39" s="1"/>
  <c r="AC7" i="39" s="1"/>
  <c r="AD7" i="39" s="1"/>
  <c r="AE7" i="39" s="1"/>
  <c r="AF7" i="39" s="1"/>
  <c r="AG7" i="39" s="1"/>
  <c r="AH7" i="39" s="1"/>
  <c r="AI7" i="39" s="1"/>
  <c r="AJ7" i="39" s="1"/>
  <c r="AK7" i="39" s="1"/>
  <c r="AL7" i="39" s="1"/>
  <c r="AM7" i="39" s="1"/>
  <c r="AN7" i="39" s="1"/>
  <c r="AO7" i="39" s="1"/>
  <c r="AP7" i="39" s="1"/>
  <c r="P24" i="39" l="1"/>
  <c r="V17" i="39"/>
  <c r="V22" i="39" s="1"/>
  <c r="U31" i="39"/>
  <c r="Y17" i="39"/>
  <c r="Y22" i="39" s="1"/>
  <c r="X31" i="39"/>
  <c r="AL24" i="39"/>
  <c r="AL23" i="39" s="1"/>
  <c r="T17" i="39"/>
  <c r="T22" i="39" s="1"/>
  <c r="W17" i="39"/>
  <c r="W22" i="39" s="1"/>
  <c r="I18" i="39"/>
  <c r="F28" i="39"/>
  <c r="S17" i="39"/>
  <c r="S22" i="39" s="1"/>
  <c r="AM14" i="39"/>
  <c r="R18" i="39"/>
  <c r="AA24" i="39"/>
  <c r="AC17" i="39"/>
  <c r="AC22" i="39" s="1"/>
  <c r="AD24" i="39"/>
  <c r="L25" i="39"/>
  <c r="AM34" i="39"/>
  <c r="AJ18" i="39"/>
  <c r="F18" i="39"/>
  <c r="J17" i="39"/>
  <c r="X34" i="39"/>
  <c r="AH17" i="39"/>
  <c r="AH22" i="39" s="1"/>
  <c r="AJ8" i="39"/>
  <c r="AJ13" i="39"/>
  <c r="AJ17" i="39" s="1"/>
  <c r="AJ22" i="39" s="1"/>
  <c r="AI24" i="39"/>
  <c r="AI23" i="39" s="1"/>
  <c r="AJ31" i="39"/>
  <c r="AJ34" i="39"/>
  <c r="AM8" i="39"/>
  <c r="AM13" i="39" s="1"/>
  <c r="AM17" i="39" s="1"/>
  <c r="AL17" i="39"/>
  <c r="AL22" i="39" s="1"/>
  <c r="AK17" i="39"/>
  <c r="AK22" i="39" s="1"/>
  <c r="AM18" i="39"/>
  <c r="U13" i="39"/>
  <c r="U18" i="39"/>
  <c r="T23" i="39"/>
  <c r="U34" i="39"/>
  <c r="R13" i="39"/>
  <c r="P17" i="39"/>
  <c r="P22" i="39" s="1"/>
  <c r="Q24" i="39"/>
  <c r="Q23" i="39" s="1"/>
  <c r="R28" i="39"/>
  <c r="R24" i="39" s="1"/>
  <c r="R31" i="39"/>
  <c r="R34" i="39"/>
  <c r="P23" i="39"/>
  <c r="K22" i="39"/>
  <c r="L13" i="39"/>
  <c r="L17" i="39" s="1"/>
  <c r="J22" i="39"/>
  <c r="L28" i="39"/>
  <c r="L24" i="39" s="1"/>
  <c r="J24" i="39"/>
  <c r="K23" i="39"/>
  <c r="J23" i="39"/>
  <c r="L23" i="39"/>
  <c r="N17" i="39"/>
  <c r="N22" i="39" s="1"/>
  <c r="M17" i="39"/>
  <c r="M22" i="39" s="1"/>
  <c r="O13" i="39"/>
  <c r="O17" i="39" s="1"/>
  <c r="O25" i="39"/>
  <c r="O24" i="39" s="1"/>
  <c r="O34" i="39"/>
  <c r="M23" i="39"/>
  <c r="X18" i="39"/>
  <c r="AA8" i="39"/>
  <c r="AA13" i="39" s="1"/>
  <c r="Z17" i="39"/>
  <c r="Z22" i="39" s="1"/>
  <c r="AA18" i="39"/>
  <c r="AA31" i="39"/>
  <c r="AA23" i="39" s="1"/>
  <c r="AE17" i="39"/>
  <c r="AG18" i="39"/>
  <c r="AF22" i="39"/>
  <c r="AE22" i="39"/>
  <c r="AG28" i="39"/>
  <c r="AG24" i="39" s="1"/>
  <c r="AE23" i="39"/>
  <c r="AG31" i="39"/>
  <c r="AF23" i="39"/>
  <c r="AD13" i="39"/>
  <c r="AD17" i="39" s="1"/>
  <c r="AB17" i="39"/>
  <c r="AD18" i="39"/>
  <c r="AB22" i="39"/>
  <c r="AD31" i="39"/>
  <c r="E17" i="39"/>
  <c r="E22" i="39" s="1"/>
  <c r="D17" i="39"/>
  <c r="D22" i="39" s="1"/>
  <c r="F17" i="39"/>
  <c r="H17" i="39"/>
  <c r="H22" i="39" s="1"/>
  <c r="G17" i="39"/>
  <c r="G22" i="39" s="1"/>
  <c r="I31" i="39"/>
  <c r="I24" i="39"/>
  <c r="H23" i="39"/>
  <c r="I34" i="39"/>
  <c r="AA38" i="42"/>
  <c r="X38" i="42"/>
  <c r="AD38" i="42"/>
  <c r="AJ38" i="42"/>
  <c r="O38" i="42"/>
  <c r="AG38" i="42"/>
  <c r="U38" i="42"/>
  <c r="U38" i="41"/>
  <c r="AP38" i="41"/>
  <c r="O38" i="41"/>
  <c r="AA38" i="41"/>
  <c r="AJ38" i="41"/>
  <c r="AD38" i="41"/>
  <c r="AG38" i="41"/>
  <c r="AP38" i="40"/>
  <c r="F38" i="40"/>
  <c r="R38" i="40"/>
  <c r="I38" i="40"/>
  <c r="X38" i="40"/>
  <c r="AA38" i="40"/>
  <c r="L38" i="40"/>
  <c r="AJ38" i="39"/>
  <c r="AP38" i="39"/>
  <c r="X17" i="39"/>
  <c r="X22" i="39" s="1"/>
  <c r="D24" i="39"/>
  <c r="D23" i="39" s="1"/>
  <c r="O18" i="39"/>
  <c r="AD34" i="39"/>
  <c r="L18" i="39"/>
  <c r="E24" i="39"/>
  <c r="E23" i="39" s="1"/>
  <c r="AG17" i="39"/>
  <c r="AM31" i="39"/>
  <c r="R17" i="39"/>
  <c r="X25" i="39"/>
  <c r="AJ25" i="39"/>
  <c r="AJ24" i="39" s="1"/>
  <c r="I8" i="39"/>
  <c r="I13" i="39" s="1"/>
  <c r="I17" i="39" s="1"/>
  <c r="AA14" i="39"/>
  <c r="F25" i="39"/>
  <c r="F24" i="39" s="1"/>
  <c r="F23" i="39" s="1"/>
  <c r="F38" i="39"/>
  <c r="AM25" i="39"/>
  <c r="AM24" i="39" s="1"/>
  <c r="AK24" i="39"/>
  <c r="AK23" i="39" s="1"/>
  <c r="U25" i="39"/>
  <c r="U24" i="39" s="1"/>
  <c r="U14" i="39"/>
  <c r="AA34" i="39"/>
  <c r="X14" i="39"/>
  <c r="AH24" i="39"/>
  <c r="AH23" i="39" s="1"/>
  <c r="G24" i="39"/>
  <c r="G23" i="39" s="1"/>
  <c r="AP42" i="38"/>
  <c r="AP43" i="38" s="1"/>
  <c r="AO42" i="38"/>
  <c r="AO43" i="38" s="1"/>
  <c r="AN42" i="38"/>
  <c r="AN43" i="38" s="1"/>
  <c r="AM45" i="38"/>
  <c r="AA17" i="39" l="1"/>
  <c r="AA22" i="39" s="1"/>
  <c r="I22" i="39"/>
  <c r="R22" i="39"/>
  <c r="AG23" i="39"/>
  <c r="AA38" i="39"/>
  <c r="F22" i="39"/>
  <c r="AJ23" i="39"/>
  <c r="AM22" i="39"/>
  <c r="AM38" i="39"/>
  <c r="U17" i="39"/>
  <c r="U22" i="39" s="1"/>
  <c r="U38" i="39"/>
  <c r="U23" i="39"/>
  <c r="R23" i="39"/>
  <c r="L22" i="39"/>
  <c r="O22" i="39"/>
  <c r="O38" i="39"/>
  <c r="O23" i="39"/>
  <c r="AG22" i="39"/>
  <c r="AD22" i="39"/>
  <c r="AD38" i="39"/>
  <c r="AD23" i="39"/>
  <c r="I23" i="39"/>
  <c r="I38" i="39"/>
  <c r="AP38" i="42"/>
  <c r="AM38" i="42"/>
  <c r="F38" i="42"/>
  <c r="L38" i="42"/>
  <c r="I38" i="42"/>
  <c r="R38" i="42"/>
  <c r="X38" i="41"/>
  <c r="AM38" i="41"/>
  <c r="L38" i="41"/>
  <c r="R38" i="41"/>
  <c r="AD38" i="40"/>
  <c r="AJ38" i="40"/>
  <c r="U38" i="40"/>
  <c r="AM23" i="39"/>
  <c r="R38" i="39"/>
  <c r="AG38" i="39"/>
  <c r="L38" i="39"/>
  <c r="AG43" i="38"/>
  <c r="AG42" i="38"/>
  <c r="AF42" i="38"/>
  <c r="AF43" i="38" s="1"/>
  <c r="AE42" i="38"/>
  <c r="AE43" i="38" s="1"/>
  <c r="P10" i="38"/>
  <c r="Q10" i="38"/>
  <c r="R42" i="38"/>
  <c r="R43" i="38" s="1"/>
  <c r="Q42" i="38"/>
  <c r="Q43" i="38" s="1"/>
  <c r="P42" i="38"/>
  <c r="P43" i="38" s="1"/>
  <c r="O42" i="38"/>
  <c r="O43" i="38" s="1"/>
  <c r="N42" i="38"/>
  <c r="N43" i="38" s="1"/>
  <c r="N45" i="38" s="1"/>
  <c r="M42" i="38"/>
  <c r="M43" i="38" s="1"/>
  <c r="M45" i="38" s="1"/>
  <c r="J42" i="38"/>
  <c r="I11" i="38"/>
  <c r="F38" i="41" l="1"/>
  <c r="O38" i="40"/>
  <c r="F43" i="38"/>
  <c r="E43" i="38"/>
  <c r="D43" i="38"/>
  <c r="F42" i="38"/>
  <c r="E42" i="38"/>
  <c r="D42" i="38"/>
  <c r="J7" i="38" l="1"/>
  <c r="K7" i="38" s="1"/>
  <c r="L7" i="38" s="1"/>
  <c r="M7" i="38" s="1"/>
  <c r="N7" i="38" s="1"/>
  <c r="O7" i="38" s="1"/>
  <c r="P7" i="38" s="1"/>
  <c r="Q7" i="38" s="1"/>
  <c r="R7" i="38" s="1"/>
  <c r="S7" i="38" s="1"/>
  <c r="T7" i="38" s="1"/>
  <c r="U7" i="38" s="1"/>
  <c r="V7" i="38" s="1"/>
  <c r="W7" i="38" s="1"/>
  <c r="X7" i="38" s="1"/>
  <c r="Y7" i="38" s="1"/>
  <c r="Z7" i="38" s="1"/>
  <c r="AA7" i="38" s="1"/>
  <c r="AB7" i="38" s="1"/>
  <c r="AC7" i="38" s="1"/>
  <c r="AD7" i="38" s="1"/>
  <c r="AE7" i="38" s="1"/>
  <c r="AF7" i="38" s="1"/>
  <c r="AG7" i="38" s="1"/>
  <c r="AH7" i="38" s="1"/>
  <c r="AI7" i="38" s="1"/>
  <c r="AJ7" i="38" s="1"/>
  <c r="AK7" i="38" s="1"/>
  <c r="AL7" i="38" s="1"/>
  <c r="AM7" i="38" s="1"/>
  <c r="AN7" i="38" s="1"/>
  <c r="AO7" i="38" s="1"/>
  <c r="AP7" i="38" s="1"/>
  <c r="G7" i="38"/>
  <c r="D7" i="38"/>
  <c r="I46" i="38" l="1"/>
  <c r="H14" i="38" l="1"/>
  <c r="O11" i="24" l="1"/>
  <c r="N11" i="24"/>
  <c r="M11" i="24"/>
  <c r="L11" i="24"/>
  <c r="K11" i="24"/>
  <c r="J11" i="24"/>
  <c r="I11" i="24"/>
  <c r="H11" i="24"/>
  <c r="G11" i="24"/>
  <c r="F11" i="24"/>
  <c r="E11" i="24"/>
  <c r="P15" i="24" l="1"/>
  <c r="O15" i="24"/>
  <c r="N15" i="24"/>
  <c r="M15" i="24"/>
  <c r="L15" i="24"/>
  <c r="K15" i="24"/>
  <c r="J15" i="24"/>
  <c r="I15" i="24"/>
  <c r="H15" i="24"/>
  <c r="G15" i="24"/>
  <c r="F15" i="24"/>
  <c r="AM36" i="38" l="1"/>
  <c r="AM35" i="38"/>
  <c r="AL34" i="38"/>
  <c r="AK34" i="38"/>
  <c r="AM33" i="38"/>
  <c r="AM32" i="38"/>
  <c r="AL31" i="38"/>
  <c r="AK31" i="38"/>
  <c r="AM30" i="38"/>
  <c r="AM29" i="38"/>
  <c r="AL28" i="38"/>
  <c r="AK28" i="38"/>
  <c r="AM27" i="38"/>
  <c r="AM26" i="38"/>
  <c r="AL25" i="38"/>
  <c r="AK25" i="38"/>
  <c r="AM21" i="38"/>
  <c r="AM20" i="38"/>
  <c r="AM19" i="38"/>
  <c r="AL18" i="38"/>
  <c r="AK18" i="38"/>
  <c r="AM16" i="38"/>
  <c r="AM15" i="38"/>
  <c r="AL14" i="38"/>
  <c r="AK14" i="38"/>
  <c r="AM12" i="38"/>
  <c r="AM10" i="38"/>
  <c r="AM9" i="38"/>
  <c r="AL8" i="38"/>
  <c r="AL13" i="38" s="1"/>
  <c r="AK8" i="38"/>
  <c r="AK13" i="38" s="1"/>
  <c r="AJ36" i="38"/>
  <c r="AJ35" i="38"/>
  <c r="AI34" i="38"/>
  <c r="AH34" i="38"/>
  <c r="AJ33" i="38"/>
  <c r="AJ32" i="38"/>
  <c r="AI31" i="38"/>
  <c r="AH31" i="38"/>
  <c r="AJ30" i="38"/>
  <c r="AJ29" i="38"/>
  <c r="AI28" i="38"/>
  <c r="AH28" i="38"/>
  <c r="AJ27" i="38"/>
  <c r="AJ26" i="38"/>
  <c r="AI25" i="38"/>
  <c r="AI24" i="38" s="1"/>
  <c r="AH25" i="38"/>
  <c r="AJ21" i="38"/>
  <c r="AJ20" i="38"/>
  <c r="AJ19" i="38"/>
  <c r="AI18" i="38"/>
  <c r="AH18" i="38"/>
  <c r="AJ16" i="38"/>
  <c r="AJ15" i="38"/>
  <c r="AI14" i="38"/>
  <c r="AH14" i="38"/>
  <c r="AJ12" i="38"/>
  <c r="AJ10" i="38"/>
  <c r="AJ9" i="38"/>
  <c r="AI8" i="38"/>
  <c r="AI13" i="38" s="1"/>
  <c r="AH8" i="38"/>
  <c r="AH13" i="38" s="1"/>
  <c r="AG36" i="38"/>
  <c r="AG35" i="38"/>
  <c r="AF34" i="38"/>
  <c r="AE34" i="38"/>
  <c r="AG33" i="38"/>
  <c r="AG32" i="38"/>
  <c r="AF31" i="38"/>
  <c r="AE31" i="38"/>
  <c r="AG30" i="38"/>
  <c r="AG29" i="38"/>
  <c r="AF28" i="38"/>
  <c r="AE28" i="38"/>
  <c r="AG27" i="38"/>
  <c r="AG26" i="38"/>
  <c r="AF25" i="38"/>
  <c r="AF24" i="38" s="1"/>
  <c r="AE25" i="38"/>
  <c r="AG21" i="38"/>
  <c r="AG20" i="38"/>
  <c r="AG19" i="38"/>
  <c r="AF18" i="38"/>
  <c r="AE18" i="38"/>
  <c r="AG16" i="38"/>
  <c r="AG15" i="38"/>
  <c r="AF14" i="38"/>
  <c r="AE14" i="38"/>
  <c r="AG12" i="38"/>
  <c r="AG10" i="38"/>
  <c r="AG9" i="38"/>
  <c r="AF8" i="38"/>
  <c r="AF13" i="38" s="1"/>
  <c r="AE8" i="38"/>
  <c r="AE13" i="38" s="1"/>
  <c r="AD36" i="38"/>
  <c r="AD35" i="38"/>
  <c r="AC34" i="38"/>
  <c r="AB34" i="38"/>
  <c r="AD33" i="38"/>
  <c r="AD32" i="38"/>
  <c r="AC31" i="38"/>
  <c r="AB31" i="38"/>
  <c r="AD30" i="38"/>
  <c r="AD29" i="38"/>
  <c r="AC28" i="38"/>
  <c r="AB28" i="38"/>
  <c r="AD27" i="38"/>
  <c r="AD26" i="38"/>
  <c r="AC25" i="38"/>
  <c r="AB25" i="38"/>
  <c r="AB24" i="38" s="1"/>
  <c r="AD21" i="38"/>
  <c r="AD20" i="38"/>
  <c r="AD19" i="38"/>
  <c r="AC18" i="38"/>
  <c r="AB18" i="38"/>
  <c r="AD16" i="38"/>
  <c r="AD15" i="38"/>
  <c r="AC14" i="38"/>
  <c r="AB14" i="38"/>
  <c r="AD12" i="38"/>
  <c r="AD10" i="38"/>
  <c r="AD9" i="38"/>
  <c r="AC8" i="38"/>
  <c r="AC13" i="38" s="1"/>
  <c r="AB8" i="38"/>
  <c r="AB13" i="38" s="1"/>
  <c r="AA36" i="38"/>
  <c r="AA35" i="38"/>
  <c r="Z34" i="38"/>
  <c r="Y34" i="38"/>
  <c r="AA33" i="38"/>
  <c r="AA32" i="38"/>
  <c r="Z31" i="38"/>
  <c r="Y31" i="38"/>
  <c r="AA30" i="38"/>
  <c r="AA29" i="38"/>
  <c r="Z28" i="38"/>
  <c r="Y28" i="38"/>
  <c r="AA27" i="38"/>
  <c r="AA26" i="38"/>
  <c r="Z25" i="38"/>
  <c r="Y25" i="38"/>
  <c r="AA21" i="38"/>
  <c r="AA20" i="38"/>
  <c r="AA19" i="38"/>
  <c r="Z18" i="38"/>
  <c r="Y18" i="38"/>
  <c r="AA16" i="38"/>
  <c r="AA15" i="38"/>
  <c r="Z14" i="38"/>
  <c r="Y14" i="38"/>
  <c r="AA12" i="38"/>
  <c r="AA10" i="38"/>
  <c r="AA9" i="38"/>
  <c r="Z8" i="38"/>
  <c r="Z13" i="38" s="1"/>
  <c r="Y8" i="38"/>
  <c r="Y13" i="38" s="1"/>
  <c r="X36" i="38"/>
  <c r="X35" i="38"/>
  <c r="W34" i="38"/>
  <c r="V34" i="38"/>
  <c r="X33" i="38"/>
  <c r="X32" i="38"/>
  <c r="W31" i="38"/>
  <c r="V31" i="38"/>
  <c r="X30" i="38"/>
  <c r="X29" i="38"/>
  <c r="W28" i="38"/>
  <c r="V28" i="38"/>
  <c r="X27" i="38"/>
  <c r="X26" i="38"/>
  <c r="W25" i="38"/>
  <c r="V25" i="38"/>
  <c r="X21" i="38"/>
  <c r="X20" i="38"/>
  <c r="X19" i="38"/>
  <c r="W18" i="38"/>
  <c r="V18" i="38"/>
  <c r="X16" i="38"/>
  <c r="X15" i="38"/>
  <c r="W14" i="38"/>
  <c r="V14" i="38"/>
  <c r="X12" i="38"/>
  <c r="X10" i="38"/>
  <c r="X9" i="38"/>
  <c r="W8" i="38"/>
  <c r="W13" i="38" s="1"/>
  <c r="V8" i="38"/>
  <c r="V13" i="38" s="1"/>
  <c r="U36" i="38"/>
  <c r="U35" i="38"/>
  <c r="T34" i="38"/>
  <c r="S34" i="38"/>
  <c r="U33" i="38"/>
  <c r="U32" i="38"/>
  <c r="T31" i="38"/>
  <c r="S31" i="38"/>
  <c r="U30" i="38"/>
  <c r="U29" i="38"/>
  <c r="T28" i="38"/>
  <c r="S28" i="38"/>
  <c r="U27" i="38"/>
  <c r="U26" i="38"/>
  <c r="T25" i="38"/>
  <c r="T24" i="38" s="1"/>
  <c r="S25" i="38"/>
  <c r="U21" i="38"/>
  <c r="U20" i="38"/>
  <c r="U19" i="38"/>
  <c r="T18" i="38"/>
  <c r="S18" i="38"/>
  <c r="U16" i="38"/>
  <c r="U15" i="38"/>
  <c r="T14" i="38"/>
  <c r="S14" i="38"/>
  <c r="U12" i="38"/>
  <c r="U10" i="38"/>
  <c r="U9" i="38"/>
  <c r="T8" i="38"/>
  <c r="T13" i="38" s="1"/>
  <c r="S8" i="38"/>
  <c r="S13" i="38" s="1"/>
  <c r="R36" i="38"/>
  <c r="R35" i="38"/>
  <c r="Q34" i="38"/>
  <c r="P34" i="38"/>
  <c r="R33" i="38"/>
  <c r="R32" i="38"/>
  <c r="Q31" i="38"/>
  <c r="P31" i="38"/>
  <c r="R30" i="38"/>
  <c r="R29" i="38"/>
  <c r="Q28" i="38"/>
  <c r="P28" i="38"/>
  <c r="R27" i="38"/>
  <c r="R26" i="38"/>
  <c r="Q25" i="38"/>
  <c r="Q24" i="38" s="1"/>
  <c r="P25" i="38"/>
  <c r="R21" i="38"/>
  <c r="R20" i="38"/>
  <c r="R19" i="38"/>
  <c r="Q18" i="38"/>
  <c r="P18" i="38"/>
  <c r="R16" i="38"/>
  <c r="R15" i="38"/>
  <c r="Q14" i="38"/>
  <c r="P14" i="38"/>
  <c r="R12" i="38"/>
  <c r="R10" i="38"/>
  <c r="R9" i="38"/>
  <c r="Q8" i="38"/>
  <c r="Q13" i="38" s="1"/>
  <c r="P8" i="38"/>
  <c r="P13" i="38" s="1"/>
  <c r="O36" i="38"/>
  <c r="O35" i="38"/>
  <c r="N34" i="38"/>
  <c r="M34" i="38"/>
  <c r="O33" i="38"/>
  <c r="O32" i="38"/>
  <c r="N31" i="38"/>
  <c r="M31" i="38"/>
  <c r="O30" i="38"/>
  <c r="O29" i="38"/>
  <c r="N28" i="38"/>
  <c r="M28" i="38"/>
  <c r="O27" i="38"/>
  <c r="O26" i="38"/>
  <c r="N25" i="38"/>
  <c r="M25" i="38"/>
  <c r="O21" i="38"/>
  <c r="O20" i="38"/>
  <c r="O19" i="38"/>
  <c r="N18" i="38"/>
  <c r="M18" i="38"/>
  <c r="O16" i="38"/>
  <c r="O15" i="38"/>
  <c r="N14" i="38"/>
  <c r="M14" i="38"/>
  <c r="O12" i="38"/>
  <c r="O10" i="38"/>
  <c r="O9" i="38"/>
  <c r="N8" i="38"/>
  <c r="N13" i="38" s="1"/>
  <c r="M8" i="38"/>
  <c r="M13" i="38" s="1"/>
  <c r="L36" i="38"/>
  <c r="L35" i="38"/>
  <c r="K34" i="38"/>
  <c r="J34" i="38"/>
  <c r="L33" i="38"/>
  <c r="L32" i="38"/>
  <c r="K31" i="38"/>
  <c r="J31" i="38"/>
  <c r="L30" i="38"/>
  <c r="L29" i="38"/>
  <c r="K28" i="38"/>
  <c r="J28" i="38"/>
  <c r="L27" i="38"/>
  <c r="L26" i="38"/>
  <c r="K25" i="38"/>
  <c r="K24" i="38" s="1"/>
  <c r="J25" i="38"/>
  <c r="L21" i="38"/>
  <c r="L20" i="38"/>
  <c r="L19" i="38"/>
  <c r="K18" i="38"/>
  <c r="K42" i="38" s="1"/>
  <c r="K43" i="38" s="1"/>
  <c r="K45" i="38" s="1"/>
  <c r="J18" i="38"/>
  <c r="J43" i="38" s="1"/>
  <c r="J45" i="38" s="1"/>
  <c r="L16" i="38"/>
  <c r="L15" i="38"/>
  <c r="K14" i="38"/>
  <c r="J14" i="38"/>
  <c r="L12" i="38"/>
  <c r="L10" i="38"/>
  <c r="L9" i="38"/>
  <c r="K8" i="38"/>
  <c r="K13" i="38" s="1"/>
  <c r="J8" i="38"/>
  <c r="J13" i="38" s="1"/>
  <c r="I36" i="38"/>
  <c r="I35" i="38"/>
  <c r="H34" i="38"/>
  <c r="G34" i="38"/>
  <c r="I33" i="38"/>
  <c r="I32" i="38"/>
  <c r="H31" i="38"/>
  <c r="G31" i="38"/>
  <c r="I30" i="38"/>
  <c r="I29" i="38"/>
  <c r="H28" i="38"/>
  <c r="G28" i="38"/>
  <c r="I27" i="38"/>
  <c r="I26" i="38"/>
  <c r="H25" i="38"/>
  <c r="G25" i="38"/>
  <c r="I21" i="38"/>
  <c r="I20" i="38"/>
  <c r="I19" i="38"/>
  <c r="H18" i="38"/>
  <c r="G18" i="38"/>
  <c r="I16" i="38"/>
  <c r="I15" i="38"/>
  <c r="G14" i="38"/>
  <c r="I12" i="38"/>
  <c r="I10" i="38"/>
  <c r="G46" i="38" s="1"/>
  <c r="H46" i="38" s="1"/>
  <c r="I9" i="38"/>
  <c r="H8" i="38"/>
  <c r="H13" i="38" s="1"/>
  <c r="G8" i="38"/>
  <c r="G13" i="38" s="1"/>
  <c r="F10" i="38"/>
  <c r="E28" i="38"/>
  <c r="D28" i="38"/>
  <c r="F27" i="38"/>
  <c r="F26" i="38"/>
  <c r="F16" i="38"/>
  <c r="F29" i="38"/>
  <c r="F30" i="38"/>
  <c r="F9" i="38"/>
  <c r="E8" i="38"/>
  <c r="E13" i="38" s="1"/>
  <c r="D8" i="38"/>
  <c r="D13" i="38" s="1"/>
  <c r="B7" i="38"/>
  <c r="C7" i="38" s="1"/>
  <c r="G22" i="24"/>
  <c r="F36" i="38"/>
  <c r="F35" i="38"/>
  <c r="E34" i="38"/>
  <c r="D34" i="38"/>
  <c r="F33" i="38"/>
  <c r="F32" i="38"/>
  <c r="E31" i="38"/>
  <c r="D31" i="38"/>
  <c r="E25" i="38"/>
  <c r="D25" i="38"/>
  <c r="F21" i="38"/>
  <c r="F20" i="38"/>
  <c r="F19" i="38"/>
  <c r="E18" i="38"/>
  <c r="D18" i="38"/>
  <c r="F15" i="38"/>
  <c r="E14" i="38"/>
  <c r="D14" i="38"/>
  <c r="F12" i="38"/>
  <c r="B6" i="24"/>
  <c r="C6" i="24" s="1"/>
  <c r="D6" i="24" s="1"/>
  <c r="E6" i="24" s="1"/>
  <c r="F6" i="24" s="1"/>
  <c r="G6" i="24" s="1"/>
  <c r="H6" i="24" s="1"/>
  <c r="I6" i="24" s="1"/>
  <c r="J6" i="24" s="1"/>
  <c r="K6" i="24" s="1"/>
  <c r="L6" i="24" s="1"/>
  <c r="M6" i="24" s="1"/>
  <c r="N6" i="24" s="1"/>
  <c r="O6" i="24" s="1"/>
  <c r="P6" i="24" s="1"/>
  <c r="N24" i="38" l="1"/>
  <c r="AL24" i="38"/>
  <c r="H24" i="38"/>
  <c r="E7" i="38"/>
  <c r="F7" i="38" s="1"/>
  <c r="L25" i="38"/>
  <c r="AM31" i="38"/>
  <c r="W24" i="38"/>
  <c r="W23" i="38" s="1"/>
  <c r="AJ31" i="38"/>
  <c r="Q23" i="38"/>
  <c r="O28" i="38"/>
  <c r="AG25" i="38"/>
  <c r="AB23" i="38"/>
  <c r="AJ28" i="38"/>
  <c r="E24" i="38"/>
  <c r="E23" i="38" s="1"/>
  <c r="I28" i="38"/>
  <c r="Z24" i="38"/>
  <c r="Z23" i="38" s="1"/>
  <c r="AC24" i="38"/>
  <c r="AC23" i="38" s="1"/>
  <c r="F8" i="38"/>
  <c r="D24" i="38"/>
  <c r="D23" i="38" s="1"/>
  <c r="U14" i="38"/>
  <c r="Z17" i="38"/>
  <c r="Z22" i="38" s="1"/>
  <c r="AA14" i="38"/>
  <c r="AM34" i="38"/>
  <c r="AM28" i="38"/>
  <c r="AM25" i="38"/>
  <c r="AK17" i="38"/>
  <c r="AK22" i="38" s="1"/>
  <c r="AJ34" i="38"/>
  <c r="AJ25" i="38"/>
  <c r="AH17" i="38"/>
  <c r="AH22" i="38" s="1"/>
  <c r="AJ8" i="38"/>
  <c r="AG34" i="38"/>
  <c r="AG31" i="38"/>
  <c r="AG28" i="38"/>
  <c r="AG24" i="38" s="1"/>
  <c r="AE17" i="38"/>
  <c r="AE22" i="38" s="1"/>
  <c r="AG8" i="38"/>
  <c r="AD34" i="38"/>
  <c r="AD31" i="38"/>
  <c r="AD28" i="38"/>
  <c r="AB17" i="38"/>
  <c r="AB22" i="38" s="1"/>
  <c r="AD8" i="38"/>
  <c r="AA34" i="38"/>
  <c r="AA31" i="38"/>
  <c r="AA28" i="38"/>
  <c r="AA18" i="38"/>
  <c r="X34" i="38"/>
  <c r="X31" i="38"/>
  <c r="V17" i="38"/>
  <c r="V22" i="38" s="1"/>
  <c r="U34" i="38"/>
  <c r="U31" i="38"/>
  <c r="U28" i="38"/>
  <c r="U18" i="38"/>
  <c r="T17" i="38"/>
  <c r="T22" i="38" s="1"/>
  <c r="R34" i="38"/>
  <c r="R31" i="38"/>
  <c r="P17" i="38"/>
  <c r="P22" i="38" s="1"/>
  <c r="O34" i="38"/>
  <c r="O31" i="38"/>
  <c r="O25" i="38"/>
  <c r="M17" i="38"/>
  <c r="M22" i="38" s="1"/>
  <c r="F28" i="38"/>
  <c r="L34" i="38"/>
  <c r="L31" i="38"/>
  <c r="L28" i="38"/>
  <c r="L24" i="38" s="1"/>
  <c r="L23" i="38" s="1"/>
  <c r="J17" i="38"/>
  <c r="J22" i="38" s="1"/>
  <c r="I34" i="38"/>
  <c r="I31" i="38"/>
  <c r="I25" i="38"/>
  <c r="G17" i="38"/>
  <c r="G22" i="38" s="1"/>
  <c r="I8" i="38"/>
  <c r="F19" i="24"/>
  <c r="F22" i="24"/>
  <c r="K19" i="24"/>
  <c r="M19" i="24"/>
  <c r="M22" i="24"/>
  <c r="N19" i="24"/>
  <c r="O19" i="24"/>
  <c r="O22" i="24"/>
  <c r="P19" i="24"/>
  <c r="F25" i="38"/>
  <c r="H17" i="38"/>
  <c r="H22" i="38" s="1"/>
  <c r="I14" i="38"/>
  <c r="I18" i="38"/>
  <c r="H23" i="38"/>
  <c r="H42" i="38" s="1"/>
  <c r="H43" i="38" s="1"/>
  <c r="H47" i="38" s="1"/>
  <c r="K17" i="38"/>
  <c r="K22" i="38" s="1"/>
  <c r="L8" i="38"/>
  <c r="L14" i="38"/>
  <c r="L18" i="38"/>
  <c r="L42" i="38" s="1"/>
  <c r="L43" i="38" s="1"/>
  <c r="K23" i="38"/>
  <c r="N17" i="38"/>
  <c r="N22" i="38" s="1"/>
  <c r="O8" i="38"/>
  <c r="O14" i="38"/>
  <c r="O18" i="38"/>
  <c r="N23" i="38"/>
  <c r="Q17" i="38"/>
  <c r="Q22" i="38" s="1"/>
  <c r="R8" i="38"/>
  <c r="R14" i="38"/>
  <c r="R18" i="38"/>
  <c r="R28" i="38"/>
  <c r="S17" i="38"/>
  <c r="S22" i="38" s="1"/>
  <c r="U8" i="38"/>
  <c r="T23" i="38"/>
  <c r="T42" i="38" s="1"/>
  <c r="T43" i="38" s="1"/>
  <c r="W17" i="38"/>
  <c r="W22" i="38" s="1"/>
  <c r="X8" i="38"/>
  <c r="X14" i="38"/>
  <c r="X18" i="38"/>
  <c r="X28" i="38"/>
  <c r="Y17" i="38"/>
  <c r="Y22" i="38" s="1"/>
  <c r="AA8" i="38"/>
  <c r="AC17" i="38"/>
  <c r="AC22" i="38" s="1"/>
  <c r="AD14" i="38"/>
  <c r="AD18" i="38"/>
  <c r="AF17" i="38"/>
  <c r="AF22" i="38" s="1"/>
  <c r="AG14" i="38"/>
  <c r="AG18" i="38"/>
  <c r="AF23" i="38"/>
  <c r="AI17" i="38"/>
  <c r="AI22" i="38" s="1"/>
  <c r="AJ14" i="38"/>
  <c r="AJ18" i="38"/>
  <c r="AI23" i="38"/>
  <c r="AI42" i="38" s="1"/>
  <c r="AI43" i="38" s="1"/>
  <c r="AL17" i="38"/>
  <c r="AL22" i="38" s="1"/>
  <c r="AM8" i="38"/>
  <c r="AM14" i="38"/>
  <c r="AM18" i="38"/>
  <c r="AL23" i="38"/>
  <c r="AL42" i="38" s="1"/>
  <c r="AL43" i="38" s="1"/>
  <c r="AL45" i="38" s="1"/>
  <c r="R25" i="38"/>
  <c r="P24" i="38"/>
  <c r="P23" i="38" s="1"/>
  <c r="X25" i="38"/>
  <c r="V24" i="38"/>
  <c r="V23" i="38" s="1"/>
  <c r="S24" i="38"/>
  <c r="S23" i="38" s="1"/>
  <c r="S42" i="38" s="1"/>
  <c r="S43" i="38" s="1"/>
  <c r="U25" i="38"/>
  <c r="AA25" i="38"/>
  <c r="AA24" i="38" s="1"/>
  <c r="Y24" i="38"/>
  <c r="Y23" i="38" s="1"/>
  <c r="AE24" i="38"/>
  <c r="AE23" i="38" s="1"/>
  <c r="AH24" i="38"/>
  <c r="AH23" i="38" s="1"/>
  <c r="AH42" i="38" s="1"/>
  <c r="AH43" i="38" s="1"/>
  <c r="AK24" i="38"/>
  <c r="AK23" i="38" s="1"/>
  <c r="AK42" i="38" s="1"/>
  <c r="AK43" i="38" s="1"/>
  <c r="AK45" i="38" s="1"/>
  <c r="AD25" i="38"/>
  <c r="G24" i="38"/>
  <c r="G23" i="38" s="1"/>
  <c r="G42" i="38" s="1"/>
  <c r="G43" i="38" s="1"/>
  <c r="G47" i="38" s="1"/>
  <c r="I47" i="38" s="1"/>
  <c r="J24" i="38"/>
  <c r="J23" i="38" s="1"/>
  <c r="M24" i="38"/>
  <c r="M23" i="38" s="1"/>
  <c r="E17" i="38"/>
  <c r="E22" i="38" s="1"/>
  <c r="F34" i="38"/>
  <c r="F31" i="38"/>
  <c r="F14" i="38"/>
  <c r="F18" i="38"/>
  <c r="O24" i="38" l="1"/>
  <c r="H7" i="38"/>
  <c r="I7" i="38" s="1"/>
  <c r="I24" i="38"/>
  <c r="U24" i="38"/>
  <c r="U38" i="38" s="1"/>
  <c r="F24" i="38"/>
  <c r="F23" i="38" s="1"/>
  <c r="AJ24" i="38"/>
  <c r="AJ23" i="38" s="1"/>
  <c r="AJ42" i="38" s="1"/>
  <c r="AJ43" i="38" s="1"/>
  <c r="F13" i="38"/>
  <c r="U23" i="38"/>
  <c r="U42" i="38" s="1"/>
  <c r="U43" i="38" s="1"/>
  <c r="I23" i="38"/>
  <c r="I42" i="38" s="1"/>
  <c r="I43" i="38" s="1"/>
  <c r="O23" i="38"/>
  <c r="AD24" i="38"/>
  <c r="AD23" i="38" s="1"/>
  <c r="AA23" i="38"/>
  <c r="AM13" i="38"/>
  <c r="AP38" i="38"/>
  <c r="AM24" i="38"/>
  <c r="AM23" i="38" s="1"/>
  <c r="AM42" i="38" s="1"/>
  <c r="AM43" i="38" s="1"/>
  <c r="AJ13" i="38"/>
  <c r="AG23" i="38"/>
  <c r="AG13" i="38"/>
  <c r="AG38" i="38"/>
  <c r="AD13" i="38"/>
  <c r="AA13" i="38"/>
  <c r="AA38" i="38"/>
  <c r="X13" i="38"/>
  <c r="U13" i="38"/>
  <c r="R13" i="38"/>
  <c r="O13" i="38"/>
  <c r="O38" i="38"/>
  <c r="I38" i="38"/>
  <c r="F38" i="38"/>
  <c r="L13" i="38"/>
  <c r="L38" i="38"/>
  <c r="I13" i="38"/>
  <c r="I19" i="24"/>
  <c r="H19" i="24"/>
  <c r="L19" i="24"/>
  <c r="J19" i="24"/>
  <c r="X24" i="38"/>
  <c r="X23" i="38" s="1"/>
  <c r="R24" i="38"/>
  <c r="R23" i="38" s="1"/>
  <c r="AM17" i="38"/>
  <c r="AM22" i="38" s="1"/>
  <c r="G19" i="24"/>
  <c r="X17" i="38" l="1"/>
  <c r="X22" i="38" s="1"/>
  <c r="F17" i="38"/>
  <c r="F22" i="38" s="1"/>
  <c r="AJ38" i="38"/>
  <c r="R17" i="38"/>
  <c r="R22" i="38" s="1"/>
  <c r="L17" i="38"/>
  <c r="L22" i="38" s="1"/>
  <c r="AD38" i="38"/>
  <c r="AA17" i="38"/>
  <c r="AA22" i="38" s="1"/>
  <c r="AD17" i="38"/>
  <c r="AD22" i="38" s="1"/>
  <c r="AG17" i="38"/>
  <c r="AG22" i="38" s="1"/>
  <c r="U17" i="38"/>
  <c r="U22" i="38" s="1"/>
  <c r="AJ17" i="38"/>
  <c r="AJ22" i="38" s="1"/>
  <c r="O17" i="38"/>
  <c r="O22" i="38" s="1"/>
  <c r="AM38" i="38"/>
  <c r="X38" i="38"/>
  <c r="R38" i="38"/>
  <c r="I17" i="38"/>
  <c r="I22" i="38" s="1"/>
  <c r="D15" i="24" l="1"/>
  <c r="D11" i="24"/>
  <c r="E15" i="24"/>
  <c r="E19" i="24" l="1"/>
  <c r="E22" i="24"/>
  <c r="D22" i="24"/>
  <c r="D19" i="24" l="1"/>
  <c r="D17" i="38" l="1"/>
  <c r="D22" i="38" l="1"/>
  <c r="X30" i="39"/>
  <c r="W28" i="39"/>
  <c r="W24" i="39" s="1"/>
  <c r="W23" i="39" s="1"/>
  <c r="X29" i="39"/>
  <c r="V28" i="39"/>
  <c r="V24" i="39" s="1"/>
  <c r="V23" i="39" s="1"/>
  <c r="X28" i="39" l="1"/>
  <c r="X24" i="39" s="1"/>
  <c r="X38" i="39" s="1"/>
  <c r="X23" i="39" l="1"/>
  <c r="H14" i="41" l="1"/>
  <c r="H17" i="41" s="1"/>
  <c r="H22" i="41" s="1"/>
  <c r="I15" i="41"/>
  <c r="I14" i="41" s="1"/>
  <c r="I17" i="41" s="1"/>
  <c r="I22" i="41" s="1"/>
  <c r="I38" i="41" l="1"/>
  <c r="E60" i="43" l="1"/>
  <c r="I29" i="44" l="1"/>
  <c r="I30" i="44"/>
  <c r="I27" i="44"/>
  <c r="I25" i="44" l="1"/>
  <c r="I23" i="44"/>
  <c r="I31" i="44"/>
  <c r="I22" i="44" l="1"/>
  <c r="I24" i="44" l="1"/>
  <c r="I28" i="44" l="1"/>
  <c r="I26" i="44" l="1"/>
  <c r="I21" i="44" l="1"/>
  <c r="I20" i="44" l="1"/>
  <c r="I19" i="44" l="1"/>
  <c r="I33" i="44"/>
  <c r="I34" i="44" s="1"/>
</calcChain>
</file>

<file path=xl/comments1.xml><?xml version="1.0" encoding="utf-8"?>
<comments xmlns="http://schemas.openxmlformats.org/spreadsheetml/2006/main">
  <authors>
    <author>kzs001</author>
  </authors>
  <commentList>
    <comment ref="B15" authorId="0">
      <text>
        <r>
          <rPr>
            <b/>
            <sz val="9"/>
            <color indexed="81"/>
            <rFont val="Tahoma"/>
            <family val="2"/>
            <charset val="204"/>
          </rPr>
          <t>kzs001:</t>
        </r>
        <r>
          <rPr>
            <sz val="9"/>
            <color indexed="81"/>
            <rFont val="Tahoma"/>
            <family val="2"/>
            <charset val="204"/>
          </rPr>
          <t xml:space="preserve">
определяется как отношение количества аварий на централизованных системах водоснабжения к протяженности сетей и определяется в единицах на 1 км сети</t>
        </r>
      </text>
    </comment>
  </commentList>
</comments>
</file>

<file path=xl/comments2.xml><?xml version="1.0" encoding="utf-8"?>
<comments xmlns="http://schemas.openxmlformats.org/spreadsheetml/2006/main">
  <authors>
    <author>kzs001</author>
  </authors>
  <commentList>
    <comment ref="B15" authorId="0">
      <text>
        <r>
          <rPr>
            <b/>
            <sz val="9"/>
            <color indexed="81"/>
            <rFont val="Tahoma"/>
            <family val="2"/>
            <charset val="204"/>
          </rPr>
          <t>kzs001:</t>
        </r>
        <r>
          <rPr>
            <sz val="9"/>
            <color indexed="81"/>
            <rFont val="Tahoma"/>
            <family val="2"/>
            <charset val="204"/>
          </rPr>
          <t xml:space="preserve">
определяется как отношение количества аварий на централизованных системах водоснабжения к протяженности сетей и определяется в единицах на 1 км сети</t>
        </r>
      </text>
    </comment>
  </commentList>
</comments>
</file>

<file path=xl/comments3.xml><?xml version="1.0" encoding="utf-8"?>
<comments xmlns="http://schemas.openxmlformats.org/spreadsheetml/2006/main">
  <authors>
    <author>kzs001</author>
  </authors>
  <commentList>
    <comment ref="B15" authorId="0">
      <text>
        <r>
          <rPr>
            <b/>
            <sz val="9"/>
            <color indexed="81"/>
            <rFont val="Tahoma"/>
            <family val="2"/>
            <charset val="204"/>
          </rPr>
          <t>kzs001:</t>
        </r>
        <r>
          <rPr>
            <sz val="9"/>
            <color indexed="81"/>
            <rFont val="Tahoma"/>
            <family val="2"/>
            <charset val="204"/>
          </rPr>
          <t xml:space="preserve">
определяется как отношение количества аварий на централизованных системах водоснабжения к протяженности сетей и определяется в единицах на 1 км сети</t>
        </r>
      </text>
    </comment>
  </commentList>
</comments>
</file>

<file path=xl/comments4.xml><?xml version="1.0" encoding="utf-8"?>
<comments xmlns="http://schemas.openxmlformats.org/spreadsheetml/2006/main">
  <authors>
    <author>kzs001</author>
  </authors>
  <commentList>
    <comment ref="B15" authorId="0">
      <text>
        <r>
          <rPr>
            <b/>
            <sz val="9"/>
            <color indexed="81"/>
            <rFont val="Tahoma"/>
            <family val="2"/>
            <charset val="204"/>
          </rPr>
          <t>kzs001:</t>
        </r>
        <r>
          <rPr>
            <sz val="9"/>
            <color indexed="81"/>
            <rFont val="Tahoma"/>
            <family val="2"/>
            <charset val="204"/>
          </rPr>
          <t xml:space="preserve">
определяется как отношение количества аварий на централизованных системах водоснабжения к протяженности сетей и определяется в единицах на 1 км сети</t>
        </r>
      </text>
    </comment>
  </commentList>
</comments>
</file>

<file path=xl/comments5.xml><?xml version="1.0" encoding="utf-8"?>
<comments xmlns="http://schemas.openxmlformats.org/spreadsheetml/2006/main">
  <authors>
    <author>kzs001</author>
  </authors>
  <commentList>
    <comment ref="B15" authorId="0">
      <text>
        <r>
          <rPr>
            <b/>
            <sz val="9"/>
            <color indexed="81"/>
            <rFont val="Tahoma"/>
            <family val="2"/>
            <charset val="204"/>
          </rPr>
          <t>kzs001:</t>
        </r>
        <r>
          <rPr>
            <sz val="9"/>
            <color indexed="81"/>
            <rFont val="Tahoma"/>
            <family val="2"/>
            <charset val="204"/>
          </rPr>
          <t xml:space="preserve">
определяется как отношение количества аварий на централизованных системах водоснабжения к протяженности сетей и определяется в единицах на 1 км сети</t>
        </r>
      </text>
    </comment>
  </commentList>
</comments>
</file>

<file path=xl/sharedStrings.xml><?xml version="1.0" encoding="utf-8"?>
<sst xmlns="http://schemas.openxmlformats.org/spreadsheetml/2006/main" count="1538" uniqueCount="222">
  <si>
    <t>прочим потребителям</t>
  </si>
  <si>
    <t>Срок реализации мероприятия, лет</t>
  </si>
  <si>
    <t>Наименование показателя</t>
  </si>
  <si>
    <t>тыс. руб.</t>
  </si>
  <si>
    <t>%</t>
  </si>
  <si>
    <t>1.</t>
  </si>
  <si>
    <t>2.</t>
  </si>
  <si>
    <t>3.</t>
  </si>
  <si>
    <t>4.</t>
  </si>
  <si>
    <t>5.</t>
  </si>
  <si>
    <t>6.</t>
  </si>
  <si>
    <t>Участок Канчалан</t>
  </si>
  <si>
    <t>Участок Угольные Копи</t>
  </si>
  <si>
    <t>Участок Алькатваам</t>
  </si>
  <si>
    <t>Участок Беринговский</t>
  </si>
  <si>
    <t>Участок Мейныпильгыно</t>
  </si>
  <si>
    <t>Участок Хатырка</t>
  </si>
  <si>
    <t>Участок Ваеги</t>
  </si>
  <si>
    <t>Участок Снежное</t>
  </si>
  <si>
    <t>Участок Марково</t>
  </si>
  <si>
    <t>Участок Усть-Белая</t>
  </si>
  <si>
    <t>Участок Новое Чаплино</t>
  </si>
  <si>
    <t>Участок Провидения</t>
  </si>
  <si>
    <t>Участок Сиреники</t>
  </si>
  <si>
    <t>Наименование участков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</si>
  <si>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</si>
  <si>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</si>
  <si>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</si>
  <si>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</si>
  <si>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</si>
  <si>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</si>
  <si>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</si>
  <si>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Показатели качества воды</t>
  </si>
  <si>
    <t>1.1</t>
  </si>
  <si>
    <t>1.2</t>
  </si>
  <si>
    <t>Показатели надежности и бесперебойности водоснабжения</t>
  </si>
  <si>
    <t>2.1</t>
  </si>
  <si>
    <t>ед./км</t>
  </si>
  <si>
    <t>Показатели эффективности использования ресурсов, в том числе уроветь потерь воды</t>
  </si>
  <si>
    <t>* План мероприятий, направленных на улучшение качества питьевой воды, организацией не представлен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</si>
  <si>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</si>
  <si>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7.</t>
  </si>
  <si>
    <t>* План мероприятий по энергосбережению и повышению энергетической эффективности организацией не представлен</t>
  </si>
  <si>
    <t>8.</t>
  </si>
  <si>
    <t>9.</t>
  </si>
  <si>
    <t>10.</t>
  </si>
  <si>
    <t>11.</t>
  </si>
  <si>
    <t>12.</t>
  </si>
  <si>
    <t>13.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</si>
  <si>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</si>
  <si>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</si>
  <si>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ед.</t>
  </si>
  <si>
    <t>общее количество отобранных проб</t>
  </si>
  <si>
    <t>2</t>
  </si>
  <si>
    <t>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</si>
  <si>
    <t>2.2</t>
  </si>
  <si>
    <t>показатель надежности и бесперебойности централизованной системы холодного водоснабжения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</si>
  <si>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</si>
  <si>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</si>
  <si>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км</t>
  </si>
  <si>
    <t>доля потерь воды в централизованной системе водоснабжения при транспортировке в общем объеме воды, поданной в водопроводную сеть</t>
  </si>
  <si>
    <t>общий объем воды, поданной в водопроводную сеть</t>
  </si>
  <si>
    <t>объем потерь воды в централизованной системе водоснабжения при ее транспортировке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</si>
  <si>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питьевой воды</t>
  </si>
  <si>
    <t>кВт.ч/куб.м</t>
  </si>
  <si>
    <t>общее количество электрической энергии, потребляемой в технологическом процессе транспортировки питьевой воды</t>
  </si>
  <si>
    <t>общий объем транспортируемой воды</t>
  </si>
  <si>
    <t>I</t>
  </si>
  <si>
    <t>II</t>
  </si>
  <si>
    <t>III</t>
  </si>
  <si>
    <t>Значение показателя</t>
  </si>
  <si>
    <t>тыс.куб.м</t>
  </si>
  <si>
    <t>тыс.кВт.ч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</si>
  <si>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</si>
  <si>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</si>
  <si>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</si>
  <si>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</si>
  <si>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</si>
  <si>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</si>
  <si>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</si>
  <si>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689000, Чукотский автономный округ, г. Анадырь, ул. Рультытегина д. 24</t>
  </si>
  <si>
    <t>ГП ЧАО "Чукоткоммунхоз"</t>
  </si>
  <si>
    <t>план</t>
  </si>
  <si>
    <t xml:space="preserve">Раздел 2. Баланс водоснабжения (питьевая вода (питьевое водоснабжение)) </t>
  </si>
  <si>
    <t>№
п/п</t>
  </si>
  <si>
    <t>Наименование</t>
  </si>
  <si>
    <t>год</t>
  </si>
  <si>
    <t>1 полугодие</t>
  </si>
  <si>
    <t>2 полугодие</t>
  </si>
  <si>
    <t>Объем воды из источников водоснабжения:</t>
  </si>
  <si>
    <t>куб.м</t>
  </si>
  <si>
    <t xml:space="preserve"> 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</si>
  <si>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</si>
  <si>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</si>
  <si>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</si>
  <si>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питьевой воды, поданной в сеть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</si>
  <si>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</si>
  <si>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</si>
  <si>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</si>
  <si>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</si>
  <si>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</si>
  <si>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Полезный отпуск питьевой воды, всего</t>
  </si>
  <si>
    <t>6.1.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</si>
  <si>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</si>
  <si>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</si>
  <si>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</si>
  <si>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</si>
  <si>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</si>
  <si>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</si>
  <si>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</si>
  <si>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Отпуск питьевой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</si>
  <si>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</si>
  <si>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</si>
  <si>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</si>
  <si>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</si>
  <si>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</si>
  <si>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</si>
  <si>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</si>
  <si>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</si>
  <si>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</si>
  <si>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</si>
  <si>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</si>
  <si>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</si>
  <si>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 xml:space="preserve">          - расчетными способами</t>
  </si>
  <si>
    <t>участок Угольные Копи</t>
  </si>
  <si>
    <t>участок Канчалан</t>
  </si>
  <si>
    <t>участок Алькатваам</t>
  </si>
  <si>
    <t>участок Беринговский</t>
  </si>
  <si>
    <t>участок Мейныпильгыно</t>
  </si>
  <si>
    <t>участок Хатырка</t>
  </si>
  <si>
    <t>участок Ваеги</t>
  </si>
  <si>
    <t>участок Снежное</t>
  </si>
  <si>
    <t>участок Марково</t>
  </si>
  <si>
    <t>участок Усть-Белая</t>
  </si>
  <si>
    <t>участок Новое Чаплино</t>
  </si>
  <si>
    <t>участок Провидения</t>
  </si>
  <si>
    <t>участок Сиреники</t>
  </si>
  <si>
    <t>-</t>
  </si>
  <si>
    <t>ПРОИЗВОДСТВЕННАЯ ПРОГРАММА</t>
  </si>
  <si>
    <t>в сфере холодного водоснабжения (питьевая вода (питьевое водоснабжение)) на 2019-2023 годы</t>
  </si>
  <si>
    <t>2019 год</t>
  </si>
  <si>
    <t>подъем воды</t>
  </si>
  <si>
    <t>покупка воды</t>
  </si>
  <si>
    <t>отпуск в сеть</t>
  </si>
  <si>
    <r>
      <t xml:space="preserve">Раздел 3. Перечень плановых мероприятий по ремонту объектов централизованных систем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</si>
  <si>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r>
      <t>3.1. План мероприятий по ремонту объектов централизованных систе</t>
    </r>
    <r>
      <rPr>
        <b/>
        <sz val="12"/>
        <rFont val="Times New Roman"/>
        <family val="1"/>
        <charset val="204"/>
      </rPr>
      <t>м холодного водоснабжения</t>
    </r>
  </si>
  <si>
    <t>1.1.</t>
  </si>
  <si>
    <t>Ремонт сетей ТВС первого контура от котельной № 1 до УТ-15</t>
  </si>
  <si>
    <t>1.2.</t>
  </si>
  <si>
    <t>Ремонт сетей холодного водоснабжения</t>
  </si>
  <si>
    <t>2020 год</t>
  </si>
  <si>
    <t>1.3.</t>
  </si>
  <si>
    <t>2021 год</t>
  </si>
  <si>
    <t>1.4.</t>
  </si>
  <si>
    <t>2022 год</t>
  </si>
  <si>
    <t>1.5.</t>
  </si>
  <si>
    <t>2023 год</t>
  </si>
  <si>
    <t>2.1.</t>
  </si>
  <si>
    <t>Ремонт сетей ХВС от УТ1 до насосной станции</t>
  </si>
  <si>
    <t>2.2.</t>
  </si>
  <si>
    <t>Ремонт сетей ТВС от УТ25 до УТ25/2</t>
  </si>
  <si>
    <t>2.3.</t>
  </si>
  <si>
    <t>Ремонт сетей ТВС от УТ3 до УТ6</t>
  </si>
  <si>
    <t>2.4.</t>
  </si>
  <si>
    <t>Ремонт сетей ТВС от УТ2 до УТ2/4</t>
  </si>
  <si>
    <t>2.5.</t>
  </si>
  <si>
    <t>2.6.</t>
  </si>
  <si>
    <t>2.7.</t>
  </si>
  <si>
    <t>2.8.</t>
  </si>
  <si>
    <t>3.1.</t>
  </si>
  <si>
    <t>Ремонт сетей ТВС от ТК 50 до ТК 56</t>
  </si>
  <si>
    <t>3.2.</t>
  </si>
  <si>
    <t xml:space="preserve">Ремонт сетей ТВС от ТК 23 до ТК 30 </t>
  </si>
  <si>
    <t>3.3.</t>
  </si>
  <si>
    <t>3.4.</t>
  </si>
  <si>
    <t>3.5.</t>
  </si>
  <si>
    <t>3.6.</t>
  </si>
  <si>
    <t>4.1.</t>
  </si>
  <si>
    <t>Ремонт сетей ТВС от СК16 до УТ 13</t>
  </si>
  <si>
    <t>4.2.</t>
  </si>
  <si>
    <t>4.3.</t>
  </si>
  <si>
    <t>4.4.</t>
  </si>
  <si>
    <t>4.5.</t>
  </si>
  <si>
    <t>5.1.</t>
  </si>
  <si>
    <t>Ремонт сетей ТВС от ТК44 до ТК66</t>
  </si>
  <si>
    <t>5.2.</t>
  </si>
  <si>
    <t>5.3.</t>
  </si>
  <si>
    <t>5.4.</t>
  </si>
  <si>
    <t>5.5.</t>
  </si>
  <si>
    <t xml:space="preserve">Ремонт сетей ХВС </t>
  </si>
  <si>
    <t>6.2.</t>
  </si>
  <si>
    <t>6.3.</t>
  </si>
  <si>
    <t>6.4.</t>
  </si>
  <si>
    <t>6.5.</t>
  </si>
  <si>
    <t>Ремонт сетей ТВС от 1УТ12 до 1УТ18</t>
  </si>
  <si>
    <t>Ремонт сетей ТВС от 2УТ19 до 2УТ 22.2</t>
  </si>
  <si>
    <t>7.3.</t>
  </si>
  <si>
    <t>Ремонт сетей ТВС от 3УТ17 до 3УТ 20</t>
  </si>
  <si>
    <t>7.4.</t>
  </si>
  <si>
    <t>7.5.</t>
  </si>
  <si>
    <t>7.6.</t>
  </si>
  <si>
    <t>7.7.</t>
  </si>
  <si>
    <t>3.2. План мероприятий, направленных на улучшение качества питьевой воды*</t>
  </si>
  <si>
    <t>Срок реализации мероприя-тия, лет</t>
  </si>
  <si>
    <t>3.3. План мероприятий по энергосбережению и повышению энергетической эффективности, в том числе по снижению потерь воды при транспортировке *</t>
  </si>
  <si>
    <t>Раздел 4. Объем финансовых потребностей, необходимых для реализации производственной программы</t>
  </si>
  <si>
    <t>Показатели производственной деятельности</t>
  </si>
  <si>
    <t>Раздел 5. Плановые показатели надежности, качества, энергетической эффективности объектов централизованных систем холодного водоснабжения</t>
  </si>
  <si>
    <t>Ремонт сетей холодного водоснабжения под домом по ул. Портовая, 8а</t>
  </si>
  <si>
    <t>Ремонт сетей холодного водоснабжения под домом по ул. Портовая, 24</t>
  </si>
  <si>
    <t>1.6.</t>
  </si>
  <si>
    <t>1.7.</t>
  </si>
  <si>
    <t>Ремонт сетей ТВС и ГВС от д. 29 по ул. Шахтная до д. 7 по ул. Ревкома Чукотки</t>
  </si>
  <si>
    <t>3.7.</t>
  </si>
  <si>
    <t>Ремонт сетей ТВС от УТ 13а до УТ 9а</t>
  </si>
  <si>
    <t>Устройство ограждения водозабора</t>
  </si>
  <si>
    <t>5.6.</t>
  </si>
  <si>
    <t>Ремонт сетей ТВС от 2УТ12 до 2УТ16</t>
  </si>
  <si>
    <t>Ремонт сетей ТВС от 1УТ5 до 1УТ10</t>
  </si>
  <si>
    <t>7.8.</t>
  </si>
  <si>
    <t>7.9.</t>
  </si>
  <si>
    <t>№ 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</si>
</sst>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.00_р_._-;\-* #,##0.00_р_._-;_-* &quot;-&quot;??_р_._-;_-@_-"/>
    <numFmt numFmtId="165" formatCode="0.0"/>
    <numFmt numFmtId="166" formatCode="0.000"/>
    <numFmt numFmtId="167" formatCode="#,##0.0"/>
    <numFmt numFmtId="168" formatCode="_-* #,##0\ &quot;р.&quot;_-;\-* #,##0\ &quot;р.&quot;_-;_-* &quot;-&quot;\ &quot;р.&quot;_-;_-@_-"/>
    <numFmt numFmtId="169" formatCode="#,##0\ &quot;d.&quot;;[Red]\-#,##0\ &quot;d.&quot;"/>
    <numFmt numFmtId="170" formatCode="#,##0.00\ &quot;d.&quot;;[Red]\-#,##0.00\ &quot;d.&quot;"/>
    <numFmt numFmtId="171" formatCode="#,##0.00\ &quot;đ.&quot;;[Red]\-#,##0.00\ &quot;đ.&quot;"/>
    <numFmt numFmtId="172" formatCode="_-* #,##0\ _đ_._-;\-* #,##0\ _đ_._-;_-* &quot;-&quot;\ _đ_._-;_-@_-"/>
    <numFmt numFmtId="173" formatCode="_-* #,##0.00\ _đ_._-;\-* #,##0.00\ _đ_._-;_-* &quot;-&quot;??\ _đ_._-;_-@_-"/>
    <numFmt numFmtId="174" formatCode="#,##0\ &quot;р.&quot;;[Red]\-#,##0\ &quot;р.&quot;"/>
    <numFmt numFmtId="175" formatCode="_-* #,##0\ _р_._-;\-* #,##0\ _р_._-;_-* &quot;-&quot;\ _р_._-;_-@_-"/>
    <numFmt numFmtId="176" formatCode="_-* #,##0.00\ _р_._-;\-* #,##0.00\ _р_._-;_-* &quot;-&quot;??\ _р_._-;_-@_-"/>
    <numFmt numFmtId="177" formatCode="#,##0.0000000"/>
    <numFmt numFmtId="178" formatCode="#,##0.000"/>
    <numFmt numFmtId="179" formatCode="#,##0.0000"/>
    <numFmt numFmtId="180" formatCode="#,##0.00000"/>
  </numFmts>
  <fonts count="24" x14ac:knownFonts="1">
    <font>
      <sz val="10"/>
      <name val="Arial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Courier"/>
      <family val="1"/>
      <charset val="204"/>
    </font>
    <font>
      <sz val="8"/>
      <name val="Arial Cyr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6" fillId="0" borderId="0"/>
    <xf numFmtId="0" fontId="11" fillId="0" borderId="0"/>
    <xf numFmtId="0" fontId="5" fillId="0" borderId="0"/>
    <xf numFmtId="0" fontId="5" fillId="0" borderId="0"/>
    <xf numFmtId="0" fontId="16" fillId="0" borderId="0"/>
    <xf numFmtId="9" fontId="16" fillId="0" borderId="0" applyFont="0" applyFill="0" applyBorder="0" applyAlignment="0" applyProtection="0"/>
    <xf numFmtId="0" fontId="5" fillId="0" borderId="0"/>
    <xf numFmtId="168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/>
    <xf numFmtId="0" fontId="6" fillId="0" borderId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518">
    <xf numFmtId="0" fontId="0" fillId="0" borderId="0" xfId="0"/>
    <xf numFmtId="0" fontId="9" fillId="0" borderId="0" xfId="0" applyFont="1"/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3" fillId="0" borderId="1" xfId="1" applyFont="1" applyBorder="1" applyAlignment="1"/>
    <xf numFmtId="0" fontId="3" fillId="0" borderId="1" xfId="1" applyFont="1" applyBorder="1"/>
    <xf numFmtId="0" fontId="3" fillId="0" borderId="0" xfId="1" applyFont="1" applyBorder="1" applyAlignment="1">
      <alignment horizontal="left" wrapText="1"/>
    </xf>
    <xf numFmtId="0" fontId="5" fillId="0" borderId="0" xfId="0" applyFont="1"/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3" xfId="2" applyFont="1" applyBorder="1" applyAlignment="1">
      <alignment horizontal="justify" vertical="top" wrapText="1"/>
    </xf>
    <xf numFmtId="0" fontId="7" fillId="0" borderId="14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justify" vertical="top" wrapText="1"/>
    </xf>
    <xf numFmtId="49" fontId="7" fillId="0" borderId="14" xfId="2" applyNumberFormat="1" applyFont="1" applyBorder="1" applyAlignment="1">
      <alignment horizontal="center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7" fillId="0" borderId="8" xfId="2" applyFont="1" applyBorder="1" applyAlignment="1">
      <alignment horizontal="justify" vertical="top" wrapText="1"/>
    </xf>
    <xf numFmtId="0" fontId="7" fillId="0" borderId="26" xfId="2" applyFont="1" applyBorder="1" applyAlignment="1">
      <alignment horizontal="justify" vertical="top" wrapText="1"/>
    </xf>
    <xf numFmtId="0" fontId="7" fillId="0" borderId="9" xfId="2" applyFont="1" applyBorder="1" applyAlignment="1">
      <alignment horizontal="justify" vertical="top" wrapText="1"/>
    </xf>
    <xf numFmtId="0" fontId="7" fillId="0" borderId="9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25" xfId="2" applyFont="1" applyBorder="1" applyAlignment="1">
      <alignment horizontal="center" vertical="center" wrapText="1"/>
    </xf>
    <xf numFmtId="49" fontId="7" fillId="0" borderId="8" xfId="2" applyNumberFormat="1" applyFont="1" applyBorder="1" applyAlignment="1">
      <alignment horizontal="center" vertical="center" wrapText="1"/>
    </xf>
    <xf numFmtId="0" fontId="7" fillId="0" borderId="28" xfId="2" applyFont="1" applyBorder="1" applyAlignment="1">
      <alignment horizontal="center" vertical="center" wrapText="1"/>
    </xf>
    <xf numFmtId="49" fontId="7" fillId="0" borderId="24" xfId="2" applyNumberFormat="1" applyFont="1" applyBorder="1" applyAlignment="1">
      <alignment horizontal="center" vertical="center" wrapText="1"/>
    </xf>
    <xf numFmtId="0" fontId="7" fillId="0" borderId="14" xfId="2" applyFont="1" applyBorder="1" applyAlignment="1">
      <alignment horizontal="justify" vertical="top" wrapText="1"/>
    </xf>
    <xf numFmtId="0" fontId="7" fillId="0" borderId="13" xfId="2" applyFont="1" applyFill="1" applyBorder="1" applyAlignment="1">
      <alignment horizontal="justify" vertical="top" wrapText="1"/>
    </xf>
    <xf numFmtId="0" fontId="3" fillId="0" borderId="1" xfId="1" applyFont="1" applyBorder="1" applyAlignment="1">
      <alignment horizontal="left" vertical="center" wrapText="1"/>
    </xf>
    <xf numFmtId="0" fontId="14" fillId="0" borderId="0" xfId="4" applyFont="1"/>
    <xf numFmtId="0" fontId="7" fillId="0" borderId="1" xfId="4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7" fillId="0" borderId="0" xfId="4" applyFont="1"/>
    <xf numFmtId="0" fontId="7" fillId="0" borderId="0" xfId="4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0" fontId="8" fillId="0" borderId="0" xfId="4" applyFont="1"/>
    <xf numFmtId="0" fontId="3" fillId="0" borderId="0" xfId="1" applyFont="1" applyBorder="1" applyAlignment="1">
      <alignment horizontal="left"/>
    </xf>
    <xf numFmtId="0" fontId="8" fillId="0" borderId="0" xfId="4" applyFont="1" applyBorder="1" applyAlignment="1">
      <alignment horizontal="left"/>
    </xf>
    <xf numFmtId="1" fontId="3" fillId="0" borderId="34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166" fontId="3" fillId="0" borderId="18" xfId="0" applyNumberFormat="1" applyFont="1" applyBorder="1" applyAlignment="1">
      <alignment horizontal="center" vertical="center"/>
    </xf>
    <xf numFmtId="165" fontId="3" fillId="0" borderId="3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15" fillId="0" borderId="0" xfId="1" applyFont="1"/>
    <xf numFmtId="0" fontId="19" fillId="0" borderId="0" xfId="1" applyFont="1" applyAlignment="1">
      <alignment vertical="top"/>
    </xf>
    <xf numFmtId="0" fontId="17" fillId="2" borderId="1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horizontal="center" vertical="center" wrapText="1"/>
    </xf>
    <xf numFmtId="0" fontId="17" fillId="6" borderId="1" xfId="1" applyFont="1" applyFill="1" applyBorder="1" applyAlignment="1">
      <alignment horizontal="center" vertical="center" wrapText="1"/>
    </xf>
    <xf numFmtId="0" fontId="17" fillId="7" borderId="1" xfId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18" fillId="0" borderId="12" xfId="1" applyFont="1" applyBorder="1" applyAlignment="1">
      <alignment vertical="center" wrapText="1"/>
    </xf>
    <xf numFmtId="0" fontId="1" fillId="0" borderId="12" xfId="1" applyFont="1" applyBorder="1" applyAlignment="1">
      <alignment horizontal="center" vertical="center" wrapText="1"/>
    </xf>
    <xf numFmtId="167" fontId="18" fillId="8" borderId="38" xfId="1" applyNumberFormat="1" applyFont="1" applyFill="1" applyBorder="1" applyAlignment="1">
      <alignment horizontal="center" vertical="center" wrapText="1"/>
    </xf>
    <xf numFmtId="167" fontId="18" fillId="8" borderId="23" xfId="1" applyNumberFormat="1" applyFont="1" applyFill="1" applyBorder="1" applyAlignment="1">
      <alignment horizontal="center" vertical="center" wrapText="1"/>
    </xf>
    <xf numFmtId="167" fontId="18" fillId="8" borderId="39" xfId="1" applyNumberFormat="1" applyFont="1" applyFill="1" applyBorder="1" applyAlignment="1">
      <alignment horizontal="center" vertical="center" wrapText="1"/>
    </xf>
    <xf numFmtId="49" fontId="17" fillId="0" borderId="13" xfId="1" applyNumberFormat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left" vertical="center" wrapText="1" indent="1"/>
    </xf>
    <xf numFmtId="0" fontId="1" fillId="0" borderId="13" xfId="1" applyFont="1" applyBorder="1" applyAlignment="1">
      <alignment horizontal="center" vertical="center" wrapText="1"/>
    </xf>
    <xf numFmtId="167" fontId="17" fillId="8" borderId="0" xfId="1" applyNumberFormat="1" applyFont="1" applyFill="1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 indent="2"/>
    </xf>
    <xf numFmtId="0" fontId="1" fillId="0" borderId="2" xfId="1" applyFont="1" applyBorder="1" applyAlignment="1">
      <alignment horizontal="center" vertical="center" wrapText="1"/>
    </xf>
    <xf numFmtId="167" fontId="17" fillId="8" borderId="18" xfId="1" applyNumberFormat="1" applyFont="1" applyFill="1" applyBorder="1" applyAlignment="1">
      <alignment horizontal="center" vertical="center" wrapText="1"/>
    </xf>
    <xf numFmtId="0" fontId="18" fillId="0" borderId="2" xfId="1" applyFont="1" applyBorder="1" applyAlignment="1">
      <alignment vertical="center" wrapText="1"/>
    </xf>
    <xf numFmtId="167" fontId="18" fillId="8" borderId="18" xfId="1" applyNumberFormat="1" applyFont="1" applyFill="1" applyBorder="1" applyAlignment="1">
      <alignment horizontal="center" vertical="center" wrapText="1"/>
    </xf>
    <xf numFmtId="0" fontId="17" fillId="0" borderId="2" xfId="1" applyFont="1" applyBorder="1" applyAlignment="1">
      <alignment vertical="center" wrapText="1"/>
    </xf>
    <xf numFmtId="167" fontId="17" fillId="8" borderId="5" xfId="1" applyNumberFormat="1" applyFont="1" applyFill="1" applyBorder="1" applyAlignment="1">
      <alignment horizontal="center" vertical="center" wrapText="1"/>
    </xf>
    <xf numFmtId="167" fontId="17" fillId="8" borderId="6" xfId="1" applyNumberFormat="1" applyFont="1" applyFill="1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 indent="1"/>
    </xf>
    <xf numFmtId="0" fontId="1" fillId="0" borderId="9" xfId="1" applyFont="1" applyBorder="1" applyAlignment="1">
      <alignment horizontal="center" vertical="center" wrapText="1"/>
    </xf>
    <xf numFmtId="49" fontId="18" fillId="0" borderId="8" xfId="1" applyNumberFormat="1" applyFont="1" applyBorder="1" applyAlignment="1">
      <alignment horizontal="center" vertical="center" wrapText="1"/>
    </xf>
    <xf numFmtId="0" fontId="18" fillId="0" borderId="13" xfId="1" applyFont="1" applyBorder="1" applyAlignment="1">
      <alignment vertical="center" wrapText="1"/>
    </xf>
    <xf numFmtId="0" fontId="19" fillId="0" borderId="13" xfId="1" applyFont="1" applyBorder="1" applyAlignment="1">
      <alignment horizontal="center" vertical="center" wrapText="1"/>
    </xf>
    <xf numFmtId="167" fontId="18" fillId="8" borderId="40" xfId="1" applyNumberFormat="1" applyFont="1" applyFill="1" applyBorder="1" applyAlignment="1">
      <alignment horizontal="center" vertical="center" wrapText="1"/>
    </xf>
    <xf numFmtId="167" fontId="18" fillId="8" borderId="41" xfId="1" applyNumberFormat="1" applyFont="1" applyFill="1" applyBorder="1" applyAlignment="1">
      <alignment horizontal="center" vertical="center" wrapText="1"/>
    </xf>
    <xf numFmtId="0" fontId="19" fillId="0" borderId="0" xfId="1" applyFont="1" applyAlignment="1">
      <alignment vertical="center"/>
    </xf>
    <xf numFmtId="49" fontId="17" fillId="0" borderId="26" xfId="1" applyNumberFormat="1" applyFont="1" applyBorder="1" applyAlignment="1">
      <alignment horizontal="center" vertical="center" wrapText="1"/>
    </xf>
    <xf numFmtId="49" fontId="17" fillId="0" borderId="8" xfId="1" applyNumberFormat="1" applyFont="1" applyBorder="1" applyAlignment="1">
      <alignment horizontal="center" vertical="center" wrapText="1"/>
    </xf>
    <xf numFmtId="0" fontId="17" fillId="0" borderId="9" xfId="1" applyFont="1" applyBorder="1" applyAlignment="1">
      <alignment horizontal="left" vertical="center" wrapText="1" indent="1"/>
    </xf>
    <xf numFmtId="49" fontId="17" fillId="0" borderId="2" xfId="1" applyNumberFormat="1" applyFont="1" applyBorder="1" applyAlignment="1">
      <alignment horizontal="center" vertical="center" wrapText="1"/>
    </xf>
    <xf numFmtId="49" fontId="18" fillId="0" borderId="2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0" fontId="18" fillId="0" borderId="9" xfId="1" applyFont="1" applyBorder="1" applyAlignment="1">
      <alignment vertical="center" wrapText="1"/>
    </xf>
    <xf numFmtId="0" fontId="19" fillId="0" borderId="9" xfId="1" applyFont="1" applyBorder="1" applyAlignment="1">
      <alignment horizontal="center" vertical="center" wrapText="1"/>
    </xf>
    <xf numFmtId="167" fontId="18" fillId="8" borderId="15" xfId="1" applyNumberFormat="1" applyFont="1" applyFill="1" applyBorder="1" applyAlignment="1">
      <alignment horizontal="center" vertical="center" wrapText="1"/>
    </xf>
    <xf numFmtId="167" fontId="18" fillId="8" borderId="10" xfId="1" applyNumberFormat="1" applyFont="1" applyFill="1" applyBorder="1" applyAlignment="1">
      <alignment horizontal="center" vertical="center" wrapText="1"/>
    </xf>
    <xf numFmtId="167" fontId="17" fillId="8" borderId="36" xfId="1" applyNumberFormat="1" applyFont="1" applyFill="1" applyBorder="1" applyAlignment="1">
      <alignment horizontal="center" vertical="center" wrapText="1"/>
    </xf>
    <xf numFmtId="0" fontId="17" fillId="0" borderId="13" xfId="1" applyFont="1" applyBorder="1" applyAlignment="1">
      <alignment horizontal="left" vertical="center" wrapText="1" indent="2"/>
    </xf>
    <xf numFmtId="0" fontId="18" fillId="0" borderId="9" xfId="1" applyFont="1" applyBorder="1" applyAlignment="1">
      <alignment horizontal="left" vertical="center" wrapText="1" indent="1"/>
    </xf>
    <xf numFmtId="49" fontId="17" fillId="0" borderId="9" xfId="1" applyNumberFormat="1" applyFont="1" applyBorder="1" applyAlignment="1">
      <alignment horizontal="center" vertical="center" wrapText="1"/>
    </xf>
    <xf numFmtId="0" fontId="17" fillId="0" borderId="9" xfId="1" applyFont="1" applyBorder="1" applyAlignment="1">
      <alignment horizontal="left" vertical="center" wrapText="1" indent="2"/>
    </xf>
    <xf numFmtId="167" fontId="17" fillId="8" borderId="42" xfId="1" applyNumberFormat="1" applyFont="1" applyFill="1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 indent="3"/>
    </xf>
    <xf numFmtId="49" fontId="18" fillId="0" borderId="13" xfId="1" applyNumberFormat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left" vertical="center" wrapText="1" indent="1"/>
    </xf>
    <xf numFmtId="167" fontId="18" fillId="8" borderId="36" xfId="1" applyNumberFormat="1" applyFont="1" applyFill="1" applyBorder="1" applyAlignment="1">
      <alignment horizontal="center" vertical="center" wrapText="1"/>
    </xf>
    <xf numFmtId="49" fontId="17" fillId="0" borderId="14" xfId="1" applyNumberFormat="1" applyFont="1" applyBorder="1" applyAlignment="1">
      <alignment horizontal="center" vertical="center" wrapText="1"/>
    </xf>
    <xf numFmtId="0" fontId="17" fillId="0" borderId="14" xfId="1" applyFont="1" applyBorder="1" applyAlignment="1">
      <alignment horizontal="left" vertical="center" wrapText="1" indent="2"/>
    </xf>
    <xf numFmtId="0" fontId="1" fillId="0" borderId="14" xfId="1" applyFont="1" applyBorder="1" applyAlignment="1">
      <alignment horizontal="center" vertical="center" wrapText="1"/>
    </xf>
    <xf numFmtId="167" fontId="17" fillId="8" borderId="30" xfId="1" applyNumberFormat="1" applyFont="1" applyFill="1" applyBorder="1" applyAlignment="1">
      <alignment horizontal="center" vertical="center" wrapText="1"/>
    </xf>
    <xf numFmtId="0" fontId="1" fillId="0" borderId="0" xfId="1" applyFont="1"/>
    <xf numFmtId="167" fontId="18" fillId="8" borderId="17" xfId="1" applyNumberFormat="1" applyFont="1" applyFill="1" applyBorder="1" applyAlignment="1">
      <alignment horizontal="center" vertical="center" wrapText="1"/>
    </xf>
    <xf numFmtId="167" fontId="17" fillId="8" borderId="22" xfId="1" applyNumberFormat="1" applyFont="1" applyFill="1" applyBorder="1" applyAlignment="1">
      <alignment horizontal="center" vertical="center" wrapText="1"/>
    </xf>
    <xf numFmtId="167" fontId="17" fillId="8" borderId="19" xfId="1" applyNumberFormat="1" applyFont="1" applyFill="1" applyBorder="1" applyAlignment="1">
      <alignment horizontal="center" vertical="center" wrapText="1"/>
    </xf>
    <xf numFmtId="167" fontId="18" fillId="8" borderId="19" xfId="1" applyNumberFormat="1" applyFont="1" applyFill="1" applyBorder="1" applyAlignment="1">
      <alignment horizontal="center" vertical="center" wrapText="1"/>
    </xf>
    <xf numFmtId="167" fontId="17" fillId="8" borderId="37" xfId="1" applyNumberFormat="1" applyFont="1" applyFill="1" applyBorder="1" applyAlignment="1">
      <alignment horizontal="center" vertical="center" wrapText="1"/>
    </xf>
    <xf numFmtId="167" fontId="17" fillId="8" borderId="11" xfId="1" applyNumberFormat="1" applyFont="1" applyFill="1" applyBorder="1" applyAlignment="1">
      <alignment horizontal="center" vertical="center" wrapText="1"/>
    </xf>
    <xf numFmtId="167" fontId="18" fillId="8" borderId="37" xfId="1" applyNumberFormat="1" applyFont="1" applyFill="1" applyBorder="1" applyAlignment="1">
      <alignment horizontal="center" vertical="center" wrapText="1"/>
    </xf>
    <xf numFmtId="167" fontId="17" fillId="8" borderId="21" xfId="1" applyNumberFormat="1" applyFont="1" applyFill="1" applyBorder="1" applyAlignment="1">
      <alignment horizontal="center" vertical="center" wrapText="1"/>
    </xf>
    <xf numFmtId="167" fontId="18" fillId="8" borderId="5" xfId="1" applyNumberFormat="1" applyFont="1" applyFill="1" applyBorder="1" applyAlignment="1">
      <alignment horizontal="center" vertical="center" wrapText="1"/>
    </xf>
    <xf numFmtId="167" fontId="17" fillId="8" borderId="41" xfId="1" applyNumberFormat="1" applyFont="1" applyFill="1" applyBorder="1" applyAlignment="1">
      <alignment horizontal="center" vertical="center" wrapText="1"/>
    </xf>
    <xf numFmtId="167" fontId="18" fillId="8" borderId="6" xfId="1" applyNumberFormat="1" applyFont="1" applyFill="1" applyBorder="1" applyAlignment="1">
      <alignment horizontal="center" vertical="center" wrapText="1"/>
    </xf>
    <xf numFmtId="167" fontId="18" fillId="8" borderId="0" xfId="1" applyNumberFormat="1" applyFont="1" applyFill="1" applyBorder="1" applyAlignment="1">
      <alignment horizontal="center" vertical="center" wrapText="1"/>
    </xf>
    <xf numFmtId="167" fontId="18" fillId="8" borderId="22" xfId="1" applyNumberFormat="1" applyFont="1" applyFill="1" applyBorder="1" applyAlignment="1">
      <alignment horizontal="center" vertical="center" wrapText="1"/>
    </xf>
    <xf numFmtId="167" fontId="17" fillId="8" borderId="45" xfId="1" applyNumberFormat="1" applyFont="1" applyFill="1" applyBorder="1" applyAlignment="1">
      <alignment horizontal="center" vertical="center" wrapText="1"/>
    </xf>
    <xf numFmtId="167" fontId="1" fillId="0" borderId="0" xfId="1" applyNumberFormat="1" applyFont="1"/>
    <xf numFmtId="167" fontId="17" fillId="8" borderId="40" xfId="1" applyNumberFormat="1" applyFont="1" applyFill="1" applyBorder="1" applyAlignment="1">
      <alignment horizontal="center" vertical="center" wrapText="1"/>
    </xf>
    <xf numFmtId="167" fontId="17" fillId="8" borderId="15" xfId="1" applyNumberFormat="1" applyFont="1" applyFill="1" applyBorder="1" applyAlignment="1">
      <alignment horizontal="center" vertical="center" wrapText="1"/>
    </xf>
    <xf numFmtId="167" fontId="17" fillId="8" borderId="10" xfId="1" applyNumberFormat="1" applyFont="1" applyFill="1" applyBorder="1" applyAlignment="1">
      <alignment horizontal="center" vertical="center" wrapText="1"/>
    </xf>
    <xf numFmtId="167" fontId="17" fillId="8" borderId="43" xfId="1" applyNumberFormat="1" applyFont="1" applyFill="1" applyBorder="1" applyAlignment="1">
      <alignment horizontal="center" vertical="center" wrapText="1"/>
    </xf>
    <xf numFmtId="167" fontId="17" fillId="8" borderId="44" xfId="1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6" fontId="5" fillId="0" borderId="0" xfId="0" applyNumberFormat="1" applyFont="1"/>
    <xf numFmtId="0" fontId="17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167" fontId="19" fillId="0" borderId="0" xfId="1" applyNumberFormat="1" applyFont="1"/>
    <xf numFmtId="166" fontId="1" fillId="0" borderId="0" xfId="1" applyNumberFormat="1" applyFont="1"/>
    <xf numFmtId="166" fontId="1" fillId="8" borderId="0" xfId="1" applyNumberFormat="1" applyFont="1" applyFill="1"/>
    <xf numFmtId="177" fontId="1" fillId="0" borderId="0" xfId="1" applyNumberFormat="1" applyFont="1"/>
    <xf numFmtId="165" fontId="1" fillId="0" borderId="0" xfId="1" applyNumberFormat="1" applyFont="1"/>
    <xf numFmtId="0" fontId="9" fillId="0" borderId="0" xfId="5" applyFont="1"/>
    <xf numFmtId="0" fontId="3" fillId="0" borderId="9" xfId="5" applyNumberFormat="1" applyFont="1" applyFill="1" applyBorder="1" applyAlignment="1">
      <alignment horizontal="center" vertical="center" wrapText="1"/>
    </xf>
    <xf numFmtId="0" fontId="3" fillId="0" borderId="2" xfId="5" applyNumberFormat="1" applyFont="1" applyFill="1" applyBorder="1" applyAlignment="1">
      <alignment horizontal="center" vertical="center" wrapText="1"/>
    </xf>
    <xf numFmtId="49" fontId="3" fillId="0" borderId="2" xfId="5" applyNumberFormat="1" applyFont="1" applyFill="1" applyBorder="1" applyAlignment="1">
      <alignment horizontal="center" vertical="center" wrapText="1"/>
    </xf>
    <xf numFmtId="0" fontId="7" fillId="0" borderId="0" xfId="5" applyFont="1"/>
    <xf numFmtId="49" fontId="3" fillId="0" borderId="3" xfId="5" applyNumberFormat="1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0" fontId="7" fillId="0" borderId="25" xfId="2" applyFont="1" applyBorder="1" applyAlignment="1">
      <alignment horizontal="justify" vertical="top" wrapText="1"/>
    </xf>
    <xf numFmtId="0" fontId="7" fillId="0" borderId="27" xfId="2" applyFont="1" applyBorder="1" applyAlignment="1">
      <alignment horizontal="justify" vertical="top" wrapText="1"/>
    </xf>
    <xf numFmtId="0" fontId="7" fillId="0" borderId="24" xfId="2" applyFont="1" applyBorder="1" applyAlignment="1">
      <alignment horizontal="justify" vertical="top" wrapText="1"/>
    </xf>
    <xf numFmtId="166" fontId="3" fillId="0" borderId="7" xfId="0" applyNumberFormat="1" applyFont="1" applyBorder="1" applyAlignment="1">
      <alignment horizontal="center" vertical="center"/>
    </xf>
    <xf numFmtId="0" fontId="7" fillId="0" borderId="12" xfId="2" applyFont="1" applyBorder="1" applyAlignment="1">
      <alignment horizontal="justify" vertical="top" wrapText="1"/>
    </xf>
    <xf numFmtId="165" fontId="3" fillId="0" borderId="7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3" fillId="0" borderId="39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 wrapText="1"/>
    </xf>
    <xf numFmtId="166" fontId="3" fillId="8" borderId="3" xfId="0" applyNumberFormat="1" applyFont="1" applyFill="1" applyBorder="1" applyAlignment="1">
      <alignment horizontal="center" vertical="center"/>
    </xf>
    <xf numFmtId="166" fontId="3" fillId="0" borderId="34" xfId="0" applyNumberFormat="1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5" fontId="3" fillId="0" borderId="42" xfId="0" applyNumberFormat="1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/>
    </xf>
    <xf numFmtId="165" fontId="3" fillId="0" borderId="35" xfId="0" applyNumberFormat="1" applyFont="1" applyFill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9" fontId="18" fillId="0" borderId="12" xfId="1" applyNumberFormat="1" applyFont="1" applyBorder="1" applyAlignment="1">
      <alignment horizontal="center" vertical="center" wrapText="1"/>
    </xf>
    <xf numFmtId="49" fontId="17" fillId="0" borderId="46" xfId="1" applyNumberFormat="1" applyFont="1" applyBorder="1" applyAlignment="1">
      <alignment horizontal="center" vertical="center" wrapText="1"/>
    </xf>
    <xf numFmtId="49" fontId="18" fillId="0" borderId="9" xfId="1" applyNumberFormat="1" applyFont="1" applyBorder="1" applyAlignment="1">
      <alignment horizontal="center" vertical="center" wrapText="1"/>
    </xf>
    <xf numFmtId="178" fontId="17" fillId="8" borderId="19" xfId="1" applyNumberFormat="1" applyFont="1" applyFill="1" applyBorder="1" applyAlignment="1">
      <alignment horizontal="center" vertical="center" wrapText="1"/>
    </xf>
    <xf numFmtId="178" fontId="17" fillId="8" borderId="22" xfId="1" applyNumberFormat="1" applyFont="1" applyFill="1" applyBorder="1" applyAlignment="1">
      <alignment horizontal="center" vertical="center" wrapText="1"/>
    </xf>
    <xf numFmtId="178" fontId="18" fillId="8" borderId="22" xfId="1" applyNumberFormat="1" applyFont="1" applyFill="1" applyBorder="1" applyAlignment="1">
      <alignment horizontal="center" vertical="center" wrapText="1"/>
    </xf>
    <xf numFmtId="178" fontId="18" fillId="8" borderId="19" xfId="1" applyNumberFormat="1" applyFont="1" applyFill="1" applyBorder="1" applyAlignment="1">
      <alignment horizontal="center" vertical="center" wrapText="1"/>
    </xf>
    <xf numFmtId="178" fontId="17" fillId="8" borderId="5" xfId="1" applyNumberFormat="1" applyFont="1" applyFill="1" applyBorder="1" applyAlignment="1">
      <alignment horizontal="center" vertical="center" wrapText="1"/>
    </xf>
    <xf numFmtId="178" fontId="17" fillId="8" borderId="6" xfId="1" applyNumberFormat="1" applyFont="1" applyFill="1" applyBorder="1" applyAlignment="1">
      <alignment horizontal="center" vertical="center" wrapText="1"/>
    </xf>
    <xf numFmtId="178" fontId="17" fillId="8" borderId="15" xfId="1" applyNumberFormat="1" applyFont="1" applyFill="1" applyBorder="1" applyAlignment="1">
      <alignment horizontal="center" vertical="center" wrapText="1"/>
    </xf>
    <xf numFmtId="178" fontId="17" fillId="8" borderId="10" xfId="1" applyNumberFormat="1" applyFont="1" applyFill="1" applyBorder="1" applyAlignment="1">
      <alignment horizontal="center" vertical="center" wrapText="1"/>
    </xf>
    <xf numFmtId="178" fontId="18" fillId="8" borderId="37" xfId="1" applyNumberFormat="1" applyFont="1" applyFill="1" applyBorder="1" applyAlignment="1">
      <alignment horizontal="center" vertical="center" wrapText="1"/>
    </xf>
    <xf numFmtId="178" fontId="17" fillId="8" borderId="43" xfId="1" applyNumberFormat="1" applyFont="1" applyFill="1" applyBorder="1" applyAlignment="1">
      <alignment horizontal="center" vertical="center" wrapText="1"/>
    </xf>
    <xf numFmtId="178" fontId="17" fillId="8" borderId="44" xfId="1" applyNumberFormat="1" applyFont="1" applyFill="1" applyBorder="1" applyAlignment="1">
      <alignment horizontal="center" vertical="center" wrapText="1"/>
    </xf>
    <xf numFmtId="178" fontId="18" fillId="8" borderId="39" xfId="1" applyNumberFormat="1" applyFont="1" applyFill="1" applyBorder="1" applyAlignment="1">
      <alignment horizontal="center" vertical="center" wrapText="1"/>
    </xf>
    <xf numFmtId="178" fontId="17" fillId="8" borderId="41" xfId="1" applyNumberFormat="1" applyFont="1" applyFill="1" applyBorder="1" applyAlignment="1">
      <alignment horizontal="center" vertical="center" wrapText="1"/>
    </xf>
    <xf numFmtId="178" fontId="18" fillId="8" borderId="18" xfId="1" applyNumberFormat="1" applyFont="1" applyFill="1" applyBorder="1" applyAlignment="1">
      <alignment horizontal="center" vertical="center" wrapText="1"/>
    </xf>
    <xf numFmtId="178" fontId="17" fillId="8" borderId="18" xfId="1" applyNumberFormat="1" applyFont="1" applyFill="1" applyBorder="1" applyAlignment="1">
      <alignment horizontal="center" vertical="center" wrapText="1"/>
    </xf>
    <xf numFmtId="178" fontId="17" fillId="8" borderId="0" xfId="1" applyNumberFormat="1" applyFont="1" applyFill="1" applyBorder="1" applyAlignment="1">
      <alignment horizontal="center" vertical="center" wrapText="1"/>
    </xf>
    <xf numFmtId="178" fontId="18" fillId="8" borderId="0" xfId="1" applyNumberFormat="1" applyFont="1" applyFill="1" applyBorder="1" applyAlignment="1">
      <alignment horizontal="center" vertical="center" wrapText="1"/>
    </xf>
    <xf numFmtId="178" fontId="17" fillId="8" borderId="42" xfId="1" applyNumberFormat="1" applyFont="1" applyFill="1" applyBorder="1" applyAlignment="1">
      <alignment horizontal="center" vertical="center" wrapText="1"/>
    </xf>
    <xf numFmtId="178" fontId="18" fillId="8" borderId="36" xfId="1" applyNumberFormat="1" applyFont="1" applyFill="1" applyBorder="1" applyAlignment="1">
      <alignment horizontal="center" vertical="center" wrapText="1"/>
    </xf>
    <xf numFmtId="178" fontId="17" fillId="8" borderId="36" xfId="1" applyNumberFormat="1" applyFont="1" applyFill="1" applyBorder="1" applyAlignment="1">
      <alignment horizontal="center" vertical="center" wrapText="1"/>
    </xf>
    <xf numFmtId="178" fontId="17" fillId="8" borderId="30" xfId="1" applyNumberFormat="1" applyFont="1" applyFill="1" applyBorder="1" applyAlignment="1">
      <alignment horizontal="center" vertical="center" wrapText="1"/>
    </xf>
    <xf numFmtId="4" fontId="17" fillId="8" borderId="5" xfId="1" applyNumberFormat="1" applyFont="1" applyFill="1" applyBorder="1" applyAlignment="1">
      <alignment horizontal="center" vertical="center" wrapText="1"/>
    </xf>
    <xf numFmtId="4" fontId="17" fillId="8" borderId="15" xfId="1" applyNumberFormat="1" applyFont="1" applyFill="1" applyBorder="1" applyAlignment="1">
      <alignment horizontal="center" vertical="center" wrapText="1"/>
    </xf>
    <xf numFmtId="178" fontId="18" fillId="8" borderId="38" xfId="1" applyNumberFormat="1" applyFont="1" applyFill="1" applyBorder="1" applyAlignment="1">
      <alignment horizontal="center" vertical="center" wrapText="1"/>
    </xf>
    <xf numFmtId="178" fontId="18" fillId="8" borderId="23" xfId="1" applyNumberFormat="1" applyFont="1" applyFill="1" applyBorder="1" applyAlignment="1">
      <alignment horizontal="center" vertical="center" wrapText="1"/>
    </xf>
    <xf numFmtId="178" fontId="17" fillId="8" borderId="40" xfId="1" applyNumberFormat="1" applyFont="1" applyFill="1" applyBorder="1" applyAlignment="1">
      <alignment horizontal="center" vertical="center" wrapText="1"/>
    </xf>
    <xf numFmtId="178" fontId="18" fillId="8" borderId="5" xfId="1" applyNumberFormat="1" applyFont="1" applyFill="1" applyBorder="1" applyAlignment="1">
      <alignment horizontal="center" vertical="center" wrapText="1"/>
    </xf>
    <xf numFmtId="178" fontId="18" fillId="8" borderId="6" xfId="1" applyNumberFormat="1" applyFont="1" applyFill="1" applyBorder="1" applyAlignment="1">
      <alignment horizontal="center" vertical="center" wrapText="1"/>
    </xf>
    <xf numFmtId="178" fontId="18" fillId="8" borderId="40" xfId="1" applyNumberFormat="1" applyFont="1" applyFill="1" applyBorder="1" applyAlignment="1">
      <alignment horizontal="center" vertical="center" wrapText="1"/>
    </xf>
    <xf numFmtId="178" fontId="18" fillId="8" borderId="41" xfId="1" applyNumberFormat="1" applyFont="1" applyFill="1" applyBorder="1" applyAlignment="1">
      <alignment horizontal="center" vertical="center" wrapText="1"/>
    </xf>
    <xf numFmtId="178" fontId="18" fillId="8" borderId="15" xfId="1" applyNumberFormat="1" applyFont="1" applyFill="1" applyBorder="1" applyAlignment="1">
      <alignment horizontal="center" vertical="center" wrapText="1"/>
    </xf>
    <xf numFmtId="178" fontId="18" fillId="8" borderId="10" xfId="1" applyNumberFormat="1" applyFont="1" applyFill="1" applyBorder="1" applyAlignment="1">
      <alignment horizontal="center" vertical="center" wrapText="1"/>
    </xf>
    <xf numFmtId="179" fontId="17" fillId="8" borderId="5" xfId="1" applyNumberFormat="1" applyFont="1" applyFill="1" applyBorder="1" applyAlignment="1">
      <alignment horizontal="center" vertical="center" wrapText="1"/>
    </xf>
    <xf numFmtId="179" fontId="17" fillId="8" borderId="6" xfId="1" applyNumberFormat="1" applyFont="1" applyFill="1" applyBorder="1" applyAlignment="1">
      <alignment horizontal="center" vertical="center" wrapText="1"/>
    </xf>
    <xf numFmtId="179" fontId="18" fillId="8" borderId="5" xfId="1" applyNumberFormat="1" applyFont="1" applyFill="1" applyBorder="1" applyAlignment="1">
      <alignment horizontal="center" vertical="center" wrapText="1"/>
    </xf>
    <xf numFmtId="179" fontId="18" fillId="8" borderId="6" xfId="1" applyNumberFormat="1" applyFont="1" applyFill="1" applyBorder="1" applyAlignment="1">
      <alignment horizontal="center" vertical="center" wrapText="1"/>
    </xf>
    <xf numFmtId="179" fontId="18" fillId="8" borderId="0" xfId="1" applyNumberFormat="1" applyFont="1" applyFill="1" applyBorder="1" applyAlignment="1">
      <alignment horizontal="center" vertical="center" wrapText="1"/>
    </xf>
    <xf numFmtId="179" fontId="17" fillId="8" borderId="18" xfId="1" applyNumberFormat="1" applyFont="1" applyFill="1" applyBorder="1" applyAlignment="1">
      <alignment horizontal="center" vertical="center" wrapText="1"/>
    </xf>
    <xf numFmtId="167" fontId="17" fillId="0" borderId="5" xfId="1" applyNumberFormat="1" applyFont="1" applyFill="1" applyBorder="1" applyAlignment="1">
      <alignment horizontal="center" vertical="center" wrapText="1"/>
    </xf>
    <xf numFmtId="179" fontId="17" fillId="8" borderId="43" xfId="1" applyNumberFormat="1" applyFont="1" applyFill="1" applyBorder="1" applyAlignment="1">
      <alignment horizontal="center" vertical="center" wrapText="1"/>
    </xf>
    <xf numFmtId="179" fontId="17" fillId="8" borderId="44" xfId="1" applyNumberFormat="1" applyFont="1" applyFill="1" applyBorder="1" applyAlignment="1">
      <alignment horizontal="center" vertical="center" wrapText="1"/>
    </xf>
    <xf numFmtId="180" fontId="17" fillId="8" borderId="10" xfId="1" applyNumberFormat="1" applyFont="1" applyFill="1" applyBorder="1" applyAlignment="1">
      <alignment horizontal="center" vertical="center" wrapText="1"/>
    </xf>
    <xf numFmtId="180" fontId="17" fillId="8" borderId="6" xfId="1" applyNumberFormat="1" applyFont="1" applyFill="1" applyBorder="1" applyAlignment="1">
      <alignment horizontal="center" vertical="center" wrapText="1"/>
    </xf>
    <xf numFmtId="166" fontId="1" fillId="0" borderId="0" xfId="1" applyNumberFormat="1" applyFont="1" applyAlignment="1">
      <alignment horizontal="center"/>
    </xf>
    <xf numFmtId="0" fontId="19" fillId="0" borderId="0" xfId="1" applyFont="1" applyAlignment="1">
      <alignment horizontal="center"/>
    </xf>
    <xf numFmtId="166" fontId="19" fillId="0" borderId="0" xfId="1" applyNumberFormat="1" applyFont="1" applyAlignment="1">
      <alignment horizontal="center"/>
    </xf>
    <xf numFmtId="167" fontId="1" fillId="0" borderId="0" xfId="1" applyNumberFormat="1" applyFont="1" applyAlignment="1">
      <alignment horizontal="center"/>
    </xf>
    <xf numFmtId="178" fontId="1" fillId="0" borderId="0" xfId="1" applyNumberFormat="1" applyFont="1" applyAlignment="1">
      <alignment horizontal="center"/>
    </xf>
    <xf numFmtId="0" fontId="17" fillId="0" borderId="1" xfId="1" applyFont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6" fontId="3" fillId="0" borderId="2" xfId="1" applyNumberFormat="1" applyFont="1" applyFill="1" applyBorder="1" applyAlignment="1">
      <alignment horizontal="center" vertical="center" wrapText="1"/>
    </xf>
    <xf numFmtId="14" fontId="3" fillId="0" borderId="2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/>
    <xf numFmtId="178" fontId="1" fillId="0" borderId="0" xfId="1" applyNumberFormat="1" applyFont="1"/>
    <xf numFmtId="167" fontId="18" fillId="0" borderId="5" xfId="1" applyNumberFormat="1" applyFont="1" applyFill="1" applyBorder="1" applyAlignment="1">
      <alignment horizontal="center" vertical="center" wrapText="1"/>
    </xf>
    <xf numFmtId="167" fontId="18" fillId="0" borderId="6" xfId="1" applyNumberFormat="1" applyFont="1" applyFill="1" applyBorder="1" applyAlignment="1">
      <alignment horizontal="center" vertical="center" wrapText="1"/>
    </xf>
    <xf numFmtId="167" fontId="18" fillId="0" borderId="18" xfId="1" applyNumberFormat="1" applyFont="1" applyFill="1" applyBorder="1" applyAlignment="1">
      <alignment horizontal="center" vertical="center" wrapText="1"/>
    </xf>
    <xf numFmtId="167" fontId="17" fillId="0" borderId="6" xfId="1" applyNumberFormat="1" applyFont="1" applyFill="1" applyBorder="1" applyAlignment="1">
      <alignment horizontal="center" vertical="center" wrapText="1"/>
    </xf>
    <xf numFmtId="167" fontId="17" fillId="0" borderId="18" xfId="1" applyNumberFormat="1" applyFont="1" applyFill="1" applyBorder="1" applyAlignment="1">
      <alignment horizontal="center" vertical="center" wrapText="1"/>
    </xf>
    <xf numFmtId="167" fontId="17" fillId="0" borderId="0" xfId="1" applyNumberFormat="1" applyFont="1" applyFill="1" applyBorder="1" applyAlignment="1">
      <alignment horizontal="center" vertical="center" wrapText="1"/>
    </xf>
    <xf numFmtId="167" fontId="17" fillId="0" borderId="15" xfId="1" applyNumberFormat="1" applyFont="1" applyFill="1" applyBorder="1" applyAlignment="1">
      <alignment horizontal="center" vertical="center" wrapText="1"/>
    </xf>
    <xf numFmtId="167" fontId="17" fillId="0" borderId="10" xfId="1" applyNumberFormat="1" applyFont="1" applyFill="1" applyBorder="1" applyAlignment="1">
      <alignment horizontal="center" vertical="center" wrapText="1"/>
    </xf>
    <xf numFmtId="167" fontId="18" fillId="0" borderId="40" xfId="1" applyNumberFormat="1" applyFont="1" applyFill="1" applyBorder="1" applyAlignment="1">
      <alignment horizontal="center" vertical="center" wrapText="1"/>
    </xf>
    <xf numFmtId="167" fontId="18" fillId="0" borderId="41" xfId="1" applyNumberFormat="1" applyFont="1" applyFill="1" applyBorder="1" applyAlignment="1">
      <alignment horizontal="center" vertical="center" wrapText="1"/>
    </xf>
    <xf numFmtId="167" fontId="18" fillId="0" borderId="15" xfId="1" applyNumberFormat="1" applyFont="1" applyFill="1" applyBorder="1" applyAlignment="1">
      <alignment horizontal="center" vertical="center" wrapText="1"/>
    </xf>
    <xf numFmtId="167" fontId="18" fillId="0" borderId="10" xfId="1" applyNumberFormat="1" applyFont="1" applyFill="1" applyBorder="1" applyAlignment="1">
      <alignment horizontal="center" vertical="center" wrapText="1"/>
    </xf>
    <xf numFmtId="167" fontId="17" fillId="0" borderId="19" xfId="1" applyNumberFormat="1" applyFont="1" applyFill="1" applyBorder="1" applyAlignment="1">
      <alignment horizontal="center" vertical="center" wrapText="1"/>
    </xf>
    <xf numFmtId="167" fontId="17" fillId="0" borderId="40" xfId="1" applyNumberFormat="1" applyFont="1" applyFill="1" applyBorder="1" applyAlignment="1">
      <alignment horizontal="center" vertical="center" wrapText="1"/>
    </xf>
    <xf numFmtId="167" fontId="17" fillId="0" borderId="41" xfId="1" applyNumberFormat="1" applyFont="1" applyFill="1" applyBorder="1" applyAlignment="1">
      <alignment horizontal="center" vertical="center" wrapText="1"/>
    </xf>
    <xf numFmtId="167" fontId="17" fillId="0" borderId="42" xfId="1" applyNumberFormat="1" applyFont="1" applyFill="1" applyBorder="1" applyAlignment="1">
      <alignment horizontal="center" vertical="center" wrapText="1"/>
    </xf>
    <xf numFmtId="167" fontId="18" fillId="0" borderId="36" xfId="1" applyNumberFormat="1" applyFont="1" applyFill="1" applyBorder="1" applyAlignment="1">
      <alignment horizontal="center" vertical="center" wrapText="1"/>
    </xf>
    <xf numFmtId="167" fontId="17" fillId="0" borderId="36" xfId="1" applyNumberFormat="1" applyFont="1" applyFill="1" applyBorder="1" applyAlignment="1">
      <alignment horizontal="center" vertical="center" wrapText="1"/>
    </xf>
    <xf numFmtId="167" fontId="17" fillId="0" borderId="43" xfId="1" applyNumberFormat="1" applyFont="1" applyFill="1" applyBorder="1" applyAlignment="1">
      <alignment horizontal="center" vertical="center" wrapText="1"/>
    </xf>
    <xf numFmtId="167" fontId="17" fillId="0" borderId="44" xfId="1" applyNumberFormat="1" applyFont="1" applyFill="1" applyBorder="1" applyAlignment="1">
      <alignment horizontal="center" vertical="center" wrapText="1"/>
    </xf>
    <xf numFmtId="167" fontId="17" fillId="0" borderId="30" xfId="1" applyNumberFormat="1" applyFont="1" applyFill="1" applyBorder="1" applyAlignment="1">
      <alignment horizontal="center" vertical="center" wrapText="1"/>
    </xf>
    <xf numFmtId="167" fontId="18" fillId="0" borderId="38" xfId="1" applyNumberFormat="1" applyFont="1" applyFill="1" applyBorder="1" applyAlignment="1">
      <alignment horizontal="center" vertical="center" wrapText="1"/>
    </xf>
    <xf numFmtId="167" fontId="18" fillId="0" borderId="23" xfId="1" applyNumberFormat="1" applyFont="1" applyFill="1" applyBorder="1" applyAlignment="1">
      <alignment horizontal="center" vertical="center" wrapText="1"/>
    </xf>
    <xf numFmtId="167" fontId="18" fillId="0" borderId="39" xfId="1" applyNumberFormat="1" applyFont="1" applyFill="1" applyBorder="1" applyAlignment="1">
      <alignment horizontal="center" vertical="center" wrapText="1"/>
    </xf>
    <xf numFmtId="178" fontId="17" fillId="0" borderId="5" xfId="1" applyNumberFormat="1" applyFont="1" applyFill="1" applyBorder="1" applyAlignment="1">
      <alignment horizontal="center" vertical="center" wrapText="1"/>
    </xf>
    <xf numFmtId="178" fontId="17" fillId="0" borderId="6" xfId="1" applyNumberFormat="1" applyFont="1" applyFill="1" applyBorder="1" applyAlignment="1">
      <alignment horizontal="center" vertical="center" wrapText="1"/>
    </xf>
    <xf numFmtId="178" fontId="17" fillId="0" borderId="15" xfId="1" applyNumberFormat="1" applyFont="1" applyFill="1" applyBorder="1" applyAlignment="1">
      <alignment horizontal="center" vertical="center" wrapText="1"/>
    </xf>
    <xf numFmtId="178" fontId="17" fillId="0" borderId="10" xfId="1" applyNumberFormat="1" applyFont="1" applyFill="1" applyBorder="1" applyAlignment="1">
      <alignment horizontal="center" vertical="center" wrapText="1"/>
    </xf>
    <xf numFmtId="178" fontId="17" fillId="0" borderId="18" xfId="1" applyNumberFormat="1" applyFont="1" applyFill="1" applyBorder="1" applyAlignment="1">
      <alignment horizontal="center" vertical="center" wrapText="1"/>
    </xf>
    <xf numFmtId="178" fontId="18" fillId="0" borderId="5" xfId="1" applyNumberFormat="1" applyFont="1" applyFill="1" applyBorder="1" applyAlignment="1">
      <alignment horizontal="center" vertical="center" wrapText="1"/>
    </xf>
    <xf numFmtId="178" fontId="18" fillId="0" borderId="6" xfId="1" applyNumberFormat="1" applyFont="1" applyFill="1" applyBorder="1" applyAlignment="1">
      <alignment horizontal="center" vertical="center" wrapText="1"/>
    </xf>
    <xf numFmtId="178" fontId="18" fillId="0" borderId="0" xfId="1" applyNumberFormat="1" applyFont="1" applyFill="1" applyBorder="1" applyAlignment="1">
      <alignment horizontal="center" vertical="center" wrapText="1"/>
    </xf>
    <xf numFmtId="178" fontId="18" fillId="0" borderId="40" xfId="1" applyNumberFormat="1" applyFont="1" applyFill="1" applyBorder="1" applyAlignment="1">
      <alignment horizontal="center" vertical="center" wrapText="1"/>
    </xf>
    <xf numFmtId="178" fontId="18" fillId="0" borderId="41" xfId="1" applyNumberFormat="1" applyFont="1" applyFill="1" applyBorder="1" applyAlignment="1">
      <alignment horizontal="center" vertical="center" wrapText="1"/>
    </xf>
    <xf numFmtId="178" fontId="18" fillId="0" borderId="36" xfId="1" applyNumberFormat="1" applyFont="1" applyFill="1" applyBorder="1" applyAlignment="1">
      <alignment horizontal="center" vertical="center" wrapText="1"/>
    </xf>
    <xf numFmtId="178" fontId="17" fillId="0" borderId="36" xfId="1" applyNumberFormat="1" applyFont="1" applyFill="1" applyBorder="1" applyAlignment="1">
      <alignment horizontal="center" vertical="center" wrapText="1"/>
    </xf>
    <xf numFmtId="178" fontId="17" fillId="0" borderId="30" xfId="1" applyNumberFormat="1" applyFont="1" applyFill="1" applyBorder="1" applyAlignment="1">
      <alignment horizontal="center" vertical="center" wrapText="1"/>
    </xf>
    <xf numFmtId="178" fontId="17" fillId="0" borderId="43" xfId="1" applyNumberFormat="1" applyFont="1" applyFill="1" applyBorder="1" applyAlignment="1">
      <alignment horizontal="center" vertical="center" wrapText="1"/>
    </xf>
    <xf numFmtId="178" fontId="17" fillId="0" borderId="44" xfId="1" applyNumberFormat="1" applyFont="1" applyFill="1" applyBorder="1" applyAlignment="1">
      <alignment horizontal="center" vertical="center" wrapText="1"/>
    </xf>
    <xf numFmtId="179" fontId="1" fillId="0" borderId="0" xfId="1" applyNumberFormat="1" applyFont="1"/>
    <xf numFmtId="180" fontId="1" fillId="0" borderId="0" xfId="1" applyNumberFormat="1" applyFont="1"/>
    <xf numFmtId="178" fontId="19" fillId="0" borderId="0" xfId="1" applyNumberFormat="1" applyFont="1"/>
    <xf numFmtId="166" fontId="19" fillId="0" borderId="0" xfId="1" applyNumberFormat="1" applyFont="1"/>
    <xf numFmtId="0" fontId="17" fillId="0" borderId="1" xfId="1" applyFont="1" applyBorder="1" applyAlignment="1">
      <alignment horizontal="center"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justify" vertical="center" wrapText="1"/>
    </xf>
    <xf numFmtId="0" fontId="3" fillId="0" borderId="29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9" fillId="0" borderId="0" xfId="5" applyNumberFormat="1" applyFont="1"/>
    <xf numFmtId="165" fontId="9" fillId="0" borderId="0" xfId="5" applyNumberFormat="1" applyFont="1" applyAlignment="1">
      <alignment horizontal="center"/>
    </xf>
    <xf numFmtId="49" fontId="7" fillId="0" borderId="2" xfId="2" applyNumberFormat="1" applyFont="1" applyBorder="1" applyAlignment="1">
      <alignment horizontal="center" wrapText="1"/>
    </xf>
    <xf numFmtId="0" fontId="7" fillId="0" borderId="2" xfId="2" applyFont="1" applyBorder="1" applyAlignment="1">
      <alignment horizontal="justify" wrapText="1"/>
    </xf>
    <xf numFmtId="0" fontId="7" fillId="0" borderId="2" xfId="2" applyFont="1" applyBorder="1" applyAlignment="1">
      <alignment horizontal="center" wrapText="1"/>
    </xf>
    <xf numFmtId="1" fontId="3" fillId="0" borderId="8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34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5" fillId="0" borderId="0" xfId="0" applyFont="1" applyAlignment="1"/>
    <xf numFmtId="0" fontId="7" fillId="0" borderId="8" xfId="2" applyFont="1" applyBorder="1" applyAlignment="1">
      <alignment horizontal="justify" wrapText="1"/>
    </xf>
    <xf numFmtId="1" fontId="7" fillId="0" borderId="8" xfId="0" applyNumberFormat="1" applyFont="1" applyBorder="1" applyAlignment="1">
      <alignment horizontal="center" wrapText="1"/>
    </xf>
    <xf numFmtId="0" fontId="7" fillId="0" borderId="26" xfId="2" applyFont="1" applyBorder="1" applyAlignment="1">
      <alignment horizontal="justify" wrapText="1"/>
    </xf>
    <xf numFmtId="49" fontId="7" fillId="0" borderId="14" xfId="2" applyNumberFormat="1" applyFont="1" applyBorder="1" applyAlignment="1">
      <alignment horizontal="center" wrapText="1"/>
    </xf>
    <xf numFmtId="0" fontId="7" fillId="0" borderId="3" xfId="2" applyFont="1" applyBorder="1" applyAlignment="1">
      <alignment horizontal="justify" wrapText="1"/>
    </xf>
    <xf numFmtId="0" fontId="7" fillId="0" borderId="14" xfId="2" applyFont="1" applyBorder="1" applyAlignment="1">
      <alignment horizontal="center" wrapText="1"/>
    </xf>
    <xf numFmtId="1" fontId="7" fillId="0" borderId="16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/>
    </xf>
    <xf numFmtId="1" fontId="3" fillId="0" borderId="35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7" fillId="0" borderId="12" xfId="2" applyFont="1" applyBorder="1" applyAlignment="1">
      <alignment horizontal="center" wrapText="1"/>
    </xf>
    <xf numFmtId="0" fontId="7" fillId="0" borderId="27" xfId="2" applyFont="1" applyBorder="1" applyAlignment="1">
      <alignment horizontal="justify" wrapText="1"/>
    </xf>
    <xf numFmtId="0" fontId="7" fillId="0" borderId="9" xfId="2" applyFont="1" applyBorder="1" applyAlignment="1">
      <alignment horizontal="center" wrapText="1"/>
    </xf>
    <xf numFmtId="1" fontId="3" fillId="0" borderId="27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39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7" fillId="0" borderId="24" xfId="2" applyFont="1" applyBorder="1" applyAlignment="1">
      <alignment horizontal="justify" wrapText="1"/>
    </xf>
    <xf numFmtId="0" fontId="7" fillId="0" borderId="13" xfId="2" applyFont="1" applyBorder="1" applyAlignment="1">
      <alignment horizontal="center" wrapText="1"/>
    </xf>
    <xf numFmtId="166" fontId="7" fillId="0" borderId="8" xfId="0" applyNumberFormat="1" applyFont="1" applyBorder="1" applyAlignment="1">
      <alignment horizontal="center" wrapText="1"/>
    </xf>
    <xf numFmtId="166" fontId="3" fillId="8" borderId="3" xfId="0" applyNumberFormat="1" applyFont="1" applyFill="1" applyBorder="1" applyAlignment="1">
      <alignment horizontal="center"/>
    </xf>
    <xf numFmtId="166" fontId="3" fillId="0" borderId="34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7" xfId="0" applyNumberFormat="1" applyFont="1" applyBorder="1" applyAlignment="1">
      <alignment horizontal="center"/>
    </xf>
    <xf numFmtId="166" fontId="5" fillId="0" borderId="0" xfId="0" applyNumberFormat="1" applyFont="1" applyAlignment="1"/>
    <xf numFmtId="0" fontId="7" fillId="0" borderId="25" xfId="2" applyFont="1" applyBorder="1" applyAlignment="1">
      <alignment horizontal="center" wrapText="1"/>
    </xf>
    <xf numFmtId="0" fontId="7" fillId="0" borderId="12" xfId="2" applyFont="1" applyBorder="1" applyAlignment="1">
      <alignment horizontal="justify" wrapText="1"/>
    </xf>
    <xf numFmtId="165" fontId="3" fillId="0" borderId="36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42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49" fontId="7" fillId="0" borderId="8" xfId="2" applyNumberFormat="1" applyFont="1" applyBorder="1" applyAlignment="1">
      <alignment horizontal="center" wrapText="1"/>
    </xf>
    <xf numFmtId="0" fontId="7" fillId="0" borderId="9" xfId="2" applyFont="1" applyBorder="1" applyAlignment="1">
      <alignment horizontal="justify" wrapText="1"/>
    </xf>
    <xf numFmtId="165" fontId="7" fillId="0" borderId="8" xfId="0" applyNumberFormat="1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center"/>
    </xf>
    <xf numFmtId="165" fontId="3" fillId="0" borderId="34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0" fontId="7" fillId="0" borderId="28" xfId="2" applyFont="1" applyBorder="1" applyAlignment="1">
      <alignment horizontal="center" wrapText="1"/>
    </xf>
    <xf numFmtId="0" fontId="7" fillId="0" borderId="13" xfId="2" applyFont="1" applyFill="1" applyBorder="1" applyAlignment="1">
      <alignment horizontal="justify" wrapText="1"/>
    </xf>
    <xf numFmtId="166" fontId="3" fillId="0" borderId="18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49" fontId="7" fillId="0" borderId="24" xfId="2" applyNumberFormat="1" applyFont="1" applyBorder="1" applyAlignment="1">
      <alignment horizontal="center" wrapText="1"/>
    </xf>
    <xf numFmtId="0" fontId="7" fillId="0" borderId="14" xfId="2" applyFont="1" applyBorder="1" applyAlignment="1">
      <alignment horizontal="justify" wrapText="1"/>
    </xf>
    <xf numFmtId="0" fontId="7" fillId="0" borderId="3" xfId="2" applyFont="1" applyBorder="1" applyAlignment="1">
      <alignment horizontal="center" wrapText="1"/>
    </xf>
    <xf numFmtId="165" fontId="7" fillId="0" borderId="16" xfId="0" applyNumberFormat="1" applyFont="1" applyFill="1" applyBorder="1" applyAlignment="1">
      <alignment horizontal="center" wrapText="1"/>
    </xf>
    <xf numFmtId="165" fontId="3" fillId="0" borderId="3" xfId="0" applyNumberFormat="1" applyFont="1" applyFill="1" applyBorder="1" applyAlignment="1">
      <alignment horizontal="center"/>
    </xf>
    <xf numFmtId="165" fontId="3" fillId="0" borderId="35" xfId="0" applyNumberFormat="1" applyFont="1" applyFill="1" applyBorder="1" applyAlignment="1">
      <alignment horizontal="center"/>
    </xf>
    <xf numFmtId="165" fontId="3" fillId="0" borderId="20" xfId="0" applyNumberFormat="1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7" fillId="0" borderId="1" xfId="0" applyFont="1" applyFill="1" applyBorder="1"/>
    <xf numFmtId="0" fontId="7" fillId="0" borderId="0" xfId="0" applyFont="1" applyFill="1" applyAlignment="1">
      <alignment horizontal="center"/>
    </xf>
    <xf numFmtId="0" fontId="7" fillId="0" borderId="0" xfId="0" applyFont="1" applyFill="1" applyBorder="1"/>
    <xf numFmtId="0" fontId="3" fillId="0" borderId="27" xfId="1" applyFont="1" applyFill="1" applyBorder="1" applyAlignment="1">
      <alignment vertical="center" wrapText="1"/>
    </xf>
    <xf numFmtId="165" fontId="3" fillId="0" borderId="8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vertical="center" wrapText="1"/>
    </xf>
    <xf numFmtId="165" fontId="3" fillId="0" borderId="27" xfId="1" applyNumberFormat="1" applyFont="1" applyFill="1" applyBorder="1" applyAlignment="1">
      <alignment vertical="center" wrapText="1"/>
    </xf>
    <xf numFmtId="165" fontId="3" fillId="0" borderId="29" xfId="1" applyNumberFormat="1" applyFont="1" applyFill="1" applyBorder="1" applyAlignment="1">
      <alignment vertical="center" wrapText="1"/>
    </xf>
    <xf numFmtId="0" fontId="3" fillId="0" borderId="16" xfId="1" applyFont="1" applyFill="1" applyBorder="1" applyAlignment="1">
      <alignment horizontal="left" vertical="center" wrapText="1"/>
    </xf>
    <xf numFmtId="0" fontId="3" fillId="0" borderId="47" xfId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167" fontId="18" fillId="8" borderId="48" xfId="1" applyNumberFormat="1" applyFont="1" applyFill="1" applyBorder="1" applyAlignment="1">
      <alignment horizontal="center" vertical="center" wrapText="1"/>
    </xf>
    <xf numFmtId="167" fontId="17" fillId="8" borderId="49" xfId="1" applyNumberFormat="1" applyFont="1" applyFill="1" applyBorder="1" applyAlignment="1">
      <alignment horizontal="center" vertical="center" wrapText="1"/>
    </xf>
    <xf numFmtId="167" fontId="17" fillId="8" borderId="50" xfId="1" applyNumberFormat="1" applyFont="1" applyFill="1" applyBorder="1" applyAlignment="1">
      <alignment horizontal="center" vertical="center" wrapText="1"/>
    </xf>
    <xf numFmtId="167" fontId="17" fillId="8" borderId="51" xfId="1" applyNumberFormat="1" applyFont="1" applyFill="1" applyBorder="1" applyAlignment="1">
      <alignment horizontal="center" vertical="center" wrapText="1"/>
    </xf>
    <xf numFmtId="0" fontId="23" fillId="0" borderId="0" xfId="0" applyFont="1"/>
    <xf numFmtId="2" fontId="23" fillId="0" borderId="9" xfId="5" applyNumberFormat="1" applyFont="1" applyFill="1" applyBorder="1" applyAlignment="1">
      <alignment horizontal="left" vertical="center" wrapText="1"/>
    </xf>
    <xf numFmtId="0" fontId="23" fillId="0" borderId="9" xfId="5" applyFont="1" applyBorder="1" applyAlignment="1">
      <alignment horizontal="center"/>
    </xf>
    <xf numFmtId="165" fontId="23" fillId="0" borderId="9" xfId="5" applyNumberFormat="1" applyFont="1" applyBorder="1" applyAlignment="1">
      <alignment horizontal="center"/>
    </xf>
    <xf numFmtId="165" fontId="23" fillId="0" borderId="9" xfId="0" applyNumberFormat="1" applyFont="1" applyBorder="1" applyAlignment="1">
      <alignment horizontal="center"/>
    </xf>
    <xf numFmtId="165" fontId="23" fillId="0" borderId="9" xfId="0" applyNumberFormat="1" applyFont="1" applyFill="1" applyBorder="1" applyAlignment="1">
      <alignment horizontal="center" vertical="center"/>
    </xf>
    <xf numFmtId="2" fontId="23" fillId="0" borderId="2" xfId="5" applyNumberFormat="1" applyFont="1" applyFill="1" applyBorder="1" applyAlignment="1">
      <alignment horizontal="left" vertical="center" wrapText="1"/>
    </xf>
    <xf numFmtId="0" fontId="23" fillId="0" borderId="2" xfId="5" applyFont="1" applyBorder="1" applyAlignment="1">
      <alignment horizontal="center"/>
    </xf>
    <xf numFmtId="165" fontId="23" fillId="0" borderId="2" xfId="5" applyNumberFormat="1" applyFont="1" applyBorder="1" applyAlignment="1">
      <alignment horizontal="center"/>
    </xf>
    <xf numFmtId="165" fontId="23" fillId="0" borderId="2" xfId="0" applyNumberFormat="1" applyFont="1" applyBorder="1" applyAlignment="1">
      <alignment horizontal="center"/>
    </xf>
    <xf numFmtId="165" fontId="23" fillId="0" borderId="2" xfId="0" applyNumberFormat="1" applyFont="1" applyFill="1" applyBorder="1" applyAlignment="1">
      <alignment horizontal="center" vertical="center"/>
    </xf>
    <xf numFmtId="2" fontId="23" fillId="0" borderId="3" xfId="5" applyNumberFormat="1" applyFont="1" applyFill="1" applyBorder="1" applyAlignment="1">
      <alignment horizontal="left" vertical="center" wrapText="1"/>
    </xf>
    <xf numFmtId="0" fontId="23" fillId="0" borderId="3" xfId="5" applyFont="1" applyBorder="1" applyAlignment="1">
      <alignment horizontal="center"/>
    </xf>
    <xf numFmtId="165" fontId="23" fillId="0" borderId="3" xfId="5" applyNumberFormat="1" applyFont="1" applyBorder="1" applyAlignment="1">
      <alignment horizontal="center"/>
    </xf>
    <xf numFmtId="165" fontId="23" fillId="0" borderId="3" xfId="0" applyNumberFormat="1" applyFont="1" applyBorder="1" applyAlignment="1">
      <alignment horizontal="center"/>
    </xf>
    <xf numFmtId="165" fontId="23" fillId="0" borderId="3" xfId="0" applyNumberFormat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167" fontId="17" fillId="5" borderId="19" xfId="1" applyNumberFormat="1" applyFont="1" applyFill="1" applyBorder="1" applyAlignment="1">
      <alignment horizontal="center" vertical="center" wrapText="1"/>
    </xf>
    <xf numFmtId="49" fontId="7" fillId="0" borderId="8" xfId="2" applyNumberFormat="1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justify" vertical="top" wrapText="1"/>
    </xf>
    <xf numFmtId="0" fontId="7" fillId="0" borderId="9" xfId="2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/>
    <xf numFmtId="165" fontId="3" fillId="0" borderId="9" xfId="0" applyNumberFormat="1" applyFont="1" applyFill="1" applyBorder="1" applyAlignment="1">
      <alignment horizontal="center" vertical="center"/>
    </xf>
    <xf numFmtId="165" fontId="3" fillId="0" borderId="42" xfId="0" applyNumberFormat="1" applyFont="1" applyFill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 wrapText="1"/>
    </xf>
    <xf numFmtId="179" fontId="17" fillId="8" borderId="19" xfId="1" applyNumberFormat="1" applyFont="1" applyFill="1" applyBorder="1" applyAlignment="1">
      <alignment horizontal="center" vertical="center" wrapText="1"/>
    </xf>
    <xf numFmtId="178" fontId="18" fillId="8" borderId="48" xfId="1" applyNumberFormat="1" applyFont="1" applyFill="1" applyBorder="1" applyAlignment="1">
      <alignment horizontal="center" vertical="center" wrapText="1"/>
    </xf>
    <xf numFmtId="178" fontId="18" fillId="8" borderId="8" xfId="1" applyNumberFormat="1" applyFont="1" applyFill="1" applyBorder="1" applyAlignment="1">
      <alignment horizontal="center" vertical="center" wrapText="1"/>
    </xf>
    <xf numFmtId="178" fontId="17" fillId="8" borderId="11" xfId="1" applyNumberFormat="1" applyFont="1" applyFill="1" applyBorder="1" applyAlignment="1">
      <alignment horizontal="center" vertical="center" wrapText="1"/>
    </xf>
    <xf numFmtId="178" fontId="17" fillId="8" borderId="37" xfId="1" applyNumberFormat="1" applyFont="1" applyFill="1" applyBorder="1" applyAlignment="1">
      <alignment horizontal="center" vertical="center" wrapText="1"/>
    </xf>
    <xf numFmtId="178" fontId="17" fillId="8" borderId="21" xfId="1" applyNumberFormat="1" applyFont="1" applyFill="1" applyBorder="1" applyAlignment="1">
      <alignment horizontal="center" vertical="center" wrapText="1"/>
    </xf>
    <xf numFmtId="178" fontId="17" fillId="2" borderId="19" xfId="1" applyNumberFormat="1" applyFont="1" applyFill="1" applyBorder="1" applyAlignment="1">
      <alignment horizontal="center" vertical="center" wrapText="1"/>
    </xf>
    <xf numFmtId="178" fontId="18" fillId="2" borderId="19" xfId="1" applyNumberFormat="1" applyFont="1" applyFill="1" applyBorder="1" applyAlignment="1">
      <alignment horizontal="center" vertical="center" wrapText="1"/>
    </xf>
    <xf numFmtId="178" fontId="17" fillId="2" borderId="22" xfId="1" applyNumberFormat="1" applyFont="1" applyFill="1" applyBorder="1" applyAlignment="1">
      <alignment horizontal="center" vertical="center" wrapText="1"/>
    </xf>
    <xf numFmtId="178" fontId="17" fillId="2" borderId="11" xfId="1" applyNumberFormat="1" applyFont="1" applyFill="1" applyBorder="1" applyAlignment="1">
      <alignment horizontal="center" vertical="center" wrapText="1"/>
    </xf>
    <xf numFmtId="178" fontId="17" fillId="2" borderId="37" xfId="1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7" fillId="0" borderId="27" xfId="2" applyFont="1" applyBorder="1" applyAlignment="1">
      <alignment horizontal="center" vertical="center" wrapText="1"/>
    </xf>
    <xf numFmtId="165" fontId="7" fillId="0" borderId="35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166" fontId="3" fillId="0" borderId="48" xfId="0" applyNumberFormat="1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166" fontId="3" fillId="0" borderId="39" xfId="0" applyNumberFormat="1" applyFont="1" applyBorder="1" applyAlignment="1">
      <alignment horizontal="center" vertical="center"/>
    </xf>
    <xf numFmtId="166" fontId="3" fillId="0" borderId="27" xfId="0" applyNumberFormat="1" applyFont="1" applyBorder="1" applyAlignment="1">
      <alignment horizontal="center" vertical="center"/>
    </xf>
    <xf numFmtId="0" fontId="8" fillId="0" borderId="0" xfId="4" applyFont="1" applyAlignment="1">
      <alignment horizontal="center"/>
    </xf>
    <xf numFmtId="0" fontId="15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4" fillId="0" borderId="30" xfId="1" applyFont="1" applyBorder="1" applyAlignment="1">
      <alignment horizontal="left" vertical="center" wrapText="1"/>
    </xf>
    <xf numFmtId="0" fontId="18" fillId="7" borderId="29" xfId="1" applyFont="1" applyFill="1" applyBorder="1" applyAlignment="1">
      <alignment horizontal="center" vertical="center" wrapText="1"/>
    </xf>
    <xf numFmtId="0" fontId="18" fillId="7" borderId="32" xfId="1" applyFont="1" applyFill="1" applyBorder="1" applyAlignment="1">
      <alignment horizontal="center" vertical="center" wrapText="1"/>
    </xf>
    <xf numFmtId="0" fontId="18" fillId="7" borderId="33" xfId="1" applyFont="1" applyFill="1" applyBorder="1" applyAlignment="1">
      <alignment horizontal="center" vertical="center" wrapText="1"/>
    </xf>
    <xf numFmtId="0" fontId="18" fillId="2" borderId="29" xfId="1" applyFont="1" applyFill="1" applyBorder="1" applyAlignment="1">
      <alignment horizontal="center" vertical="center" wrapText="1"/>
    </xf>
    <xf numFmtId="0" fontId="18" fillId="2" borderId="32" xfId="1" applyFont="1" applyFill="1" applyBorder="1" applyAlignment="1">
      <alignment horizontal="center" vertical="center" wrapText="1"/>
    </xf>
    <xf numFmtId="0" fontId="18" fillId="2" borderId="33" xfId="1" applyFont="1" applyFill="1" applyBorder="1" applyAlignment="1">
      <alignment horizontal="center" vertical="center" wrapText="1"/>
    </xf>
    <xf numFmtId="0" fontId="18" fillId="3" borderId="29" xfId="1" applyFont="1" applyFill="1" applyBorder="1" applyAlignment="1">
      <alignment horizontal="center" vertical="center" wrapText="1"/>
    </xf>
    <xf numFmtId="0" fontId="18" fillId="3" borderId="32" xfId="1" applyFont="1" applyFill="1" applyBorder="1" applyAlignment="1">
      <alignment horizontal="center" vertical="center" wrapText="1"/>
    </xf>
    <xf numFmtId="0" fontId="18" fillId="3" borderId="33" xfId="1" applyFont="1" applyFill="1" applyBorder="1" applyAlignment="1">
      <alignment horizontal="center" vertical="center" wrapText="1"/>
    </xf>
    <xf numFmtId="0" fontId="18" fillId="4" borderId="29" xfId="1" applyFont="1" applyFill="1" applyBorder="1" applyAlignment="1">
      <alignment horizontal="center" vertical="center" wrapText="1"/>
    </xf>
    <xf numFmtId="0" fontId="18" fillId="4" borderId="32" xfId="1" applyFont="1" applyFill="1" applyBorder="1" applyAlignment="1">
      <alignment horizontal="center" vertical="center" wrapText="1"/>
    </xf>
    <xf numFmtId="0" fontId="18" fillId="4" borderId="33" xfId="1" applyFont="1" applyFill="1" applyBorder="1" applyAlignment="1">
      <alignment horizontal="center" vertical="center" wrapText="1"/>
    </xf>
    <xf numFmtId="0" fontId="18" fillId="5" borderId="29" xfId="1" applyFont="1" applyFill="1" applyBorder="1" applyAlignment="1">
      <alignment horizontal="center" vertical="center" wrapText="1"/>
    </xf>
    <xf numFmtId="0" fontId="18" fillId="5" borderId="32" xfId="1" applyFont="1" applyFill="1" applyBorder="1" applyAlignment="1">
      <alignment horizontal="center" vertical="center" wrapText="1"/>
    </xf>
    <xf numFmtId="0" fontId="18" fillId="5" borderId="33" xfId="1" applyFont="1" applyFill="1" applyBorder="1" applyAlignment="1">
      <alignment horizontal="center" vertical="center" wrapText="1"/>
    </xf>
    <xf numFmtId="0" fontId="18" fillId="6" borderId="29" xfId="1" applyFont="1" applyFill="1" applyBorder="1" applyAlignment="1">
      <alignment horizontal="center" vertical="center" wrapText="1"/>
    </xf>
    <xf numFmtId="0" fontId="18" fillId="6" borderId="32" xfId="1" applyFont="1" applyFill="1" applyBorder="1" applyAlignment="1">
      <alignment horizontal="center" vertical="center" wrapText="1"/>
    </xf>
    <xf numFmtId="0" fontId="18" fillId="6" borderId="33" xfId="1" applyFont="1" applyFill="1" applyBorder="1" applyAlignment="1">
      <alignment horizontal="center" vertical="center" wrapText="1"/>
    </xf>
    <xf numFmtId="0" fontId="17" fillId="7" borderId="30" xfId="1" applyFont="1" applyFill="1" applyBorder="1" applyAlignment="1">
      <alignment horizontal="center" vertical="center" wrapText="1"/>
    </xf>
    <xf numFmtId="0" fontId="17" fillId="7" borderId="21" xfId="1" applyFont="1" applyFill="1" applyBorder="1" applyAlignment="1">
      <alignment horizontal="center" vertical="center" wrapText="1"/>
    </xf>
    <xf numFmtId="0" fontId="17" fillId="7" borderId="29" xfId="1" applyFont="1" applyFill="1" applyBorder="1" applyAlignment="1">
      <alignment horizontal="center" vertical="center" wrapText="1"/>
    </xf>
    <xf numFmtId="0" fontId="17" fillId="7" borderId="32" xfId="1" applyFont="1" applyFill="1" applyBorder="1" applyAlignment="1">
      <alignment horizontal="center" vertical="center" wrapText="1"/>
    </xf>
    <xf numFmtId="0" fontId="17" fillId="7" borderId="33" xfId="1" applyFont="1" applyFill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4" fillId="0" borderId="30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17" fillId="0" borderId="4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 wrapText="1"/>
    </xf>
    <xf numFmtId="0" fontId="17" fillId="0" borderId="14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22" xfId="1" applyFont="1" applyFill="1" applyBorder="1" applyAlignment="1">
      <alignment horizontal="center" vertical="center" wrapText="1"/>
    </xf>
    <xf numFmtId="0" fontId="17" fillId="3" borderId="0" xfId="1" applyFont="1" applyFill="1" applyBorder="1" applyAlignment="1">
      <alignment horizontal="center" vertical="center" wrapText="1"/>
    </xf>
    <xf numFmtId="0" fontId="17" fillId="3" borderId="22" xfId="1" applyFont="1" applyFill="1" applyBorder="1" applyAlignment="1">
      <alignment horizontal="center" vertical="center" wrapText="1"/>
    </xf>
    <xf numFmtId="0" fontId="17" fillId="4" borderId="0" xfId="1" applyFont="1" applyFill="1" applyBorder="1" applyAlignment="1">
      <alignment horizontal="center" vertical="center" wrapText="1"/>
    </xf>
    <xf numFmtId="0" fontId="17" fillId="4" borderId="22" xfId="1" applyFont="1" applyFill="1" applyBorder="1" applyAlignment="1">
      <alignment horizontal="center" vertical="center" wrapText="1"/>
    </xf>
    <xf numFmtId="0" fontId="17" fillId="5" borderId="0" xfId="1" applyFont="1" applyFill="1" applyBorder="1" applyAlignment="1">
      <alignment horizontal="center" vertical="center" wrapText="1"/>
    </xf>
    <xf numFmtId="0" fontId="17" fillId="5" borderId="22" xfId="1" applyFont="1" applyFill="1" applyBorder="1" applyAlignment="1">
      <alignment horizontal="center" vertical="center" wrapText="1"/>
    </xf>
    <xf numFmtId="0" fontId="17" fillId="6" borderId="0" xfId="1" applyFont="1" applyFill="1" applyBorder="1" applyAlignment="1">
      <alignment horizontal="center" vertical="center" wrapText="1"/>
    </xf>
    <xf numFmtId="0" fontId="17" fillId="6" borderId="22" xfId="1" applyFont="1" applyFill="1" applyBorder="1" applyAlignment="1">
      <alignment horizontal="center" vertical="center" wrapText="1"/>
    </xf>
    <xf numFmtId="0" fontId="17" fillId="7" borderId="24" xfId="1" applyFont="1" applyFill="1" applyBorder="1" applyAlignment="1">
      <alignment horizontal="center" vertical="center" wrapText="1"/>
    </xf>
    <xf numFmtId="0" fontId="17" fillId="2" borderId="29" xfId="1" applyFont="1" applyFill="1" applyBorder="1" applyAlignment="1">
      <alignment horizontal="center" vertical="center" wrapText="1"/>
    </xf>
    <xf numFmtId="0" fontId="17" fillId="2" borderId="32" xfId="1" applyFont="1" applyFill="1" applyBorder="1" applyAlignment="1">
      <alignment horizontal="center" vertical="center" wrapText="1"/>
    </xf>
    <xf numFmtId="0" fontId="17" fillId="2" borderId="33" xfId="1" applyFont="1" applyFill="1" applyBorder="1" applyAlignment="1">
      <alignment horizontal="center" vertical="center" wrapText="1"/>
    </xf>
    <xf numFmtId="0" fontId="17" fillId="3" borderId="29" xfId="1" applyFont="1" applyFill="1" applyBorder="1" applyAlignment="1">
      <alignment horizontal="center" vertical="center" wrapText="1"/>
    </xf>
    <xf numFmtId="0" fontId="17" fillId="3" borderId="32" xfId="1" applyFont="1" applyFill="1" applyBorder="1" applyAlignment="1">
      <alignment horizontal="center" vertical="center" wrapText="1"/>
    </xf>
    <xf numFmtId="0" fontId="17" fillId="3" borderId="33" xfId="1" applyFont="1" applyFill="1" applyBorder="1" applyAlignment="1">
      <alignment horizontal="center" vertical="center" wrapText="1"/>
    </xf>
    <xf numFmtId="0" fontId="17" fillId="4" borderId="29" xfId="1" applyFont="1" applyFill="1" applyBorder="1" applyAlignment="1">
      <alignment horizontal="center" vertical="center" wrapText="1"/>
    </xf>
    <xf numFmtId="0" fontId="17" fillId="4" borderId="32" xfId="1" applyFont="1" applyFill="1" applyBorder="1" applyAlignment="1">
      <alignment horizontal="center" vertical="center" wrapText="1"/>
    </xf>
    <xf numFmtId="0" fontId="17" fillId="4" borderId="33" xfId="1" applyFont="1" applyFill="1" applyBorder="1" applyAlignment="1">
      <alignment horizontal="center" vertical="center" wrapText="1"/>
    </xf>
    <xf numFmtId="0" fontId="17" fillId="5" borderId="29" xfId="1" applyFont="1" applyFill="1" applyBorder="1" applyAlignment="1">
      <alignment horizontal="center" vertical="center" wrapText="1"/>
    </xf>
    <xf numFmtId="0" fontId="17" fillId="5" borderId="32" xfId="1" applyFont="1" applyFill="1" applyBorder="1" applyAlignment="1">
      <alignment horizontal="center" vertical="center" wrapText="1"/>
    </xf>
    <xf numFmtId="0" fontId="17" fillId="5" borderId="33" xfId="1" applyFont="1" applyFill="1" applyBorder="1" applyAlignment="1">
      <alignment horizontal="center" vertical="center" wrapText="1"/>
    </xf>
    <xf numFmtId="0" fontId="17" fillId="6" borderId="29" xfId="1" applyFont="1" applyFill="1" applyBorder="1" applyAlignment="1">
      <alignment horizontal="center" vertical="center" wrapText="1"/>
    </xf>
    <xf numFmtId="0" fontId="17" fillId="6" borderId="32" xfId="1" applyFont="1" applyFill="1" applyBorder="1" applyAlignment="1">
      <alignment horizontal="center" vertical="center" wrapText="1"/>
    </xf>
    <xf numFmtId="0" fontId="17" fillId="6" borderId="33" xfId="1" applyFont="1" applyFill="1" applyBorder="1" applyAlignment="1">
      <alignment horizontal="center" vertical="center" wrapText="1"/>
    </xf>
    <xf numFmtId="0" fontId="17" fillId="2" borderId="26" xfId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3" fillId="0" borderId="31" xfId="1" applyFont="1" applyBorder="1" applyAlignment="1">
      <alignment horizontal="left" wrapText="1"/>
    </xf>
    <xf numFmtId="0" fontId="8" fillId="0" borderId="30" xfId="5" applyFont="1" applyFill="1" applyBorder="1" applyAlignment="1">
      <alignment horizontal="lef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/>
    </xf>
    <xf numFmtId="0" fontId="3" fillId="0" borderId="32" xfId="1" applyFont="1" applyBorder="1" applyAlignment="1">
      <alignment horizontal="center"/>
    </xf>
    <xf numFmtId="0" fontId="3" fillId="0" borderId="33" xfId="1" applyFont="1" applyBorder="1" applyAlignment="1">
      <alignment horizontal="center"/>
    </xf>
    <xf numFmtId="0" fontId="8" fillId="0" borderId="30" xfId="5" applyNumberFormat="1" applyFont="1" applyBorder="1" applyAlignment="1">
      <alignment horizontal="left" vertical="center" wrapText="1"/>
    </xf>
    <xf numFmtId="0" fontId="4" fillId="0" borderId="30" xfId="1" applyFont="1" applyBorder="1" applyAlignment="1">
      <alignment horizontal="left" wrapText="1"/>
    </xf>
    <xf numFmtId="0" fontId="8" fillId="0" borderId="29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10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165" fontId="3" fillId="0" borderId="8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</cellXfs>
  <cellStyles count="38">
    <cellStyle name="_прил 23-27 ЧЭ ХВС" xfId="7"/>
    <cellStyle name="AFE" xfId="8"/>
    <cellStyle name="Alilciue [0]_AAA" xfId="9"/>
    <cellStyle name="Alilciue_AAA" xfId="10"/>
    <cellStyle name="Äĺíĺćíűé_AN" xfId="11"/>
    <cellStyle name="Alilciue_IKGPR" xfId="12"/>
    <cellStyle name="Äĺíĺćíűé_KOTELPR" xfId="13"/>
    <cellStyle name="Alilciue_RAZRAD" xfId="14"/>
    <cellStyle name="Äĺíĺćíűé_REG" xfId="15"/>
    <cellStyle name="Iau?iue_AAA" xfId="16"/>
    <cellStyle name="Îáű÷íűé_1 číä óä10" xfId="17"/>
    <cellStyle name="Nun??c [0]_AAA" xfId="18"/>
    <cellStyle name="Nun??c_AAA" xfId="19"/>
    <cellStyle name="Ňűń˙÷č [0]_1 číä óä10" xfId="20"/>
    <cellStyle name="Ňűń˙÷č_1 číä óä10" xfId="21"/>
    <cellStyle name="Ôčíŕíńîâűé [0]_ATPCD30" xfId="22"/>
    <cellStyle name="Ôčíŕíńîâűé_ATPCD30" xfId="23"/>
    <cellStyle name="Денежный [0Э_11DXATP" xfId="24"/>
    <cellStyle name="Обычный" xfId="0" builtinId="0"/>
    <cellStyle name="Обычный 2" xfId="5"/>
    <cellStyle name="Обычный 2_ООО Тепловая компания (печора)" xfId="1"/>
    <cellStyle name="Обычный 3" xfId="25"/>
    <cellStyle name="Обычный 4" xfId="26"/>
    <cellStyle name="Обычный 5" xfId="2"/>
    <cellStyle name="Обычный 5 2" xfId="27"/>
    <cellStyle name="Обычный 5 3" xfId="28"/>
    <cellStyle name="Обычный 6" xfId="29"/>
    <cellStyle name="Обычный 7" xfId="30"/>
    <cellStyle name="Обычный_PP_PitWater" xfId="4"/>
    <cellStyle name="Процентный 2" xfId="6"/>
    <cellStyle name="Процентный 3" xfId="31"/>
    <cellStyle name="Процентный 4" xfId="32"/>
    <cellStyle name="Процентный 5" xfId="33"/>
    <cellStyle name="Процентный 6" xfId="34"/>
    <cellStyle name="Стиль 1" xfId="3"/>
    <cellStyle name="Тысячи [0]_1 инд уд10" xfId="35"/>
    <cellStyle name="Тысячи_1 инд уд10" xfId="36"/>
    <cellStyle name="Финансовый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19%20&#1075;&#1086;&#1076;/&#1043;&#1055;%20&#1063;&#1050;&#1061;/&#1063;&#1050;&#1061;%20&#1040;&#1085;&#1072;&#1076;%20&#1042;&#1054;&#1044;&#1054;&#1055;&#1056;&#1054;&#1042;&#1054;&#1044;%202019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2%20&#1075;&#1086;&#1076;/&#1043;&#1055;%20&#1063;&#1050;&#1061;/&#1063;&#1050;&#1061;%20&#1042;&#1054;&#1044;&#1054;&#1055;&#1056;&#1054;&#1042;&#1054;&#1044;%202022%20&#1082;&#1086;&#1088;_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2%20&#1075;&#1086;&#1076;/&#1043;&#1055;%20&#1063;&#1050;&#1061;/&#1050;&#1086;&#1084;&#1080;&#1090;&#1077;&#1090;/&#1055;&#1083;&#1072;&#1085;%20&#1079;&#1072;&#1090;&#1088;&#1072;&#1090;_&#1040;&#1085;&#1072;&#1076;&#1060;&#1080;&#1083;_2022%20&#1050;&#1086;&#1084;&#1080;&#1090;&#1077;&#1090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2%20&#1075;&#1086;&#1076;/&#1043;&#1055;%20&#1063;&#1050;&#1061;/&#1050;&#1086;&#1084;&#1080;&#1090;&#1077;&#1090;/&#1055;&#1083;&#1072;&#1085;%20&#1079;&#1072;&#1090;&#1088;&#1072;&#1090;_&#1041;&#1077;&#1088;&#1060;&#1080;&#1083;_2022%20&#1050;&#1086;&#1084;&#1080;&#1090;&#1077;&#1090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2%20&#1075;&#1086;&#1076;/&#1043;&#1055;%20&#1063;&#1050;&#1061;/&#1050;&#1086;&#1084;&#1080;&#1090;&#1077;&#1090;/&#1055;&#1083;&#1072;&#1085;%20&#1079;&#1072;&#1090;&#1088;&#1072;&#1090;_&#1052;&#1072;&#1088;&#1082;&#1060;&#1080;&#1083;_2022%20&#1050;&#1086;&#1084;&#1080;&#1090;&#1077;&#1090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2%20&#1075;&#1086;&#1076;/&#1043;&#1055;%20&#1063;&#1050;&#1061;/&#1050;&#1086;&#1084;&#1080;&#1090;&#1077;&#1090;/&#1055;&#1083;&#1072;&#1085;%20&#1079;&#1072;&#1090;&#1088;&#1072;&#1090;_&#1055;&#1088;&#1086;&#1074;&#1060;&#1080;&#1083;_2022%20&#1050;&#1086;&#1084;&#1080;&#1090;&#1077;&#1090;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3%20&#1075;&#1086;&#1076;/&#1043;&#1055;%20&#1063;&#1050;&#1061;/&#1063;&#1050;&#1061;%20&#1042;&#1054;&#1044;&#1054;&#1055;&#1056;&#1054;&#1042;&#1054;&#1044;%202023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1%20&#1075;&#1086;&#1076;/&#1043;&#1055;%20&#1063;&#1050;&#1061;/&#1063;&#1050;&#1061;%20&#1042;&#1054;&#1044;&#1054;&#1055;&#1056;&#1054;&#1042;&#1054;&#1044;%202021%20&#1082;&#1086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оср парам"/>
      <sheetName val="индексы"/>
      <sheetName val="Свод села"/>
      <sheetName val="Свод "/>
      <sheetName val="У_Копи"/>
      <sheetName val="Канч"/>
      <sheetName val="Марк"/>
      <sheetName val="У_Бел"/>
      <sheetName val="Снежн"/>
      <sheetName val="Ваеги"/>
      <sheetName val="Беринг"/>
      <sheetName val="Алькат"/>
      <sheetName val="Мейнып"/>
      <sheetName val="Хатыр"/>
      <sheetName val="формула"/>
      <sheetName val="Субс"/>
    </sheetNames>
    <sheetDataSet>
      <sheetData sheetId="0"/>
      <sheetData sheetId="1"/>
      <sheetData sheetId="2"/>
      <sheetData sheetId="3"/>
      <sheetData sheetId="4">
        <row r="13">
          <cell r="M13">
            <v>97254.11500000002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 парам"/>
      <sheetName val="индексы"/>
      <sheetName val="Свод села"/>
      <sheetName val="Свод "/>
      <sheetName val="У_Копи"/>
      <sheetName val="Канч"/>
      <sheetName val="Марк"/>
      <sheetName val="У_Бел"/>
      <sheetName val="Ваеги"/>
      <sheetName val="Снежн"/>
      <sheetName val="Беринг"/>
      <sheetName val="Алькат"/>
      <sheetName val="Мейнып"/>
      <sheetName val="Хатыр"/>
      <sheetName val="Провид"/>
      <sheetName val="Н_Чапл"/>
      <sheetName val="Сирен"/>
      <sheetName val="Алькат_неуч_2020"/>
      <sheetName val="Уг_К_неуч 2020"/>
      <sheetName val="Вод налог"/>
      <sheetName val="Корректировка НВВ"/>
      <sheetName val="Недополученные по объемам"/>
      <sheetName val="формула"/>
      <sheetName val="V_с_учетом_динамики_изм"/>
      <sheetName val="Расходы на ТЭ учитываемые в ВС"/>
      <sheetName val="Лист4"/>
      <sheetName val="Лист6"/>
      <sheetName val="Лист1"/>
      <sheetName val="Субс"/>
      <sheetName val="Расходы на ЭЭ учитываемые в ВС"/>
    </sheetNames>
    <sheetDataSet>
      <sheetData sheetId="0">
        <row r="12">
          <cell r="G12">
            <v>3.2649694194185392</v>
          </cell>
        </row>
      </sheetData>
      <sheetData sheetId="1"/>
      <sheetData sheetId="2"/>
      <sheetData sheetId="3"/>
      <sheetData sheetId="4">
        <row r="13">
          <cell r="M13">
            <v>80416.33</v>
          </cell>
        </row>
        <row r="14">
          <cell r="M14">
            <v>190777.7</v>
          </cell>
        </row>
        <row r="15">
          <cell r="M15">
            <v>190.77770000000001</v>
          </cell>
        </row>
        <row r="17">
          <cell r="M17">
            <v>271003.25230000005</v>
          </cell>
        </row>
        <row r="18">
          <cell r="M18">
            <v>8943.1073259000023</v>
          </cell>
        </row>
        <row r="25">
          <cell r="M25">
            <v>113573.50448283901</v>
          </cell>
        </row>
        <row r="28">
          <cell r="M28">
            <v>18254.904684375178</v>
          </cell>
        </row>
        <row r="29">
          <cell r="M29">
            <v>16849.996289999999</v>
          </cell>
        </row>
      </sheetData>
      <sheetData sheetId="5">
        <row r="12">
          <cell r="M12">
            <v>0</v>
          </cell>
        </row>
        <row r="13">
          <cell r="M13">
            <v>31334.916495712729</v>
          </cell>
        </row>
        <row r="14">
          <cell r="M14">
            <v>0</v>
          </cell>
        </row>
        <row r="15">
          <cell r="M15">
            <v>0</v>
          </cell>
        </row>
        <row r="17">
          <cell r="M17">
            <v>31334.916495712729</v>
          </cell>
        </row>
        <row r="18">
          <cell r="M18">
            <v>2410.9171710460628</v>
          </cell>
        </row>
        <row r="25">
          <cell r="M25">
            <v>23686.217657999998</v>
          </cell>
        </row>
        <row r="28">
          <cell r="M28">
            <v>1883.5049999999999</v>
          </cell>
        </row>
        <row r="29">
          <cell r="M29">
            <v>920.59366666666665</v>
          </cell>
        </row>
      </sheetData>
      <sheetData sheetId="6">
        <row r="12">
          <cell r="M12">
            <v>0</v>
          </cell>
        </row>
        <row r="13">
          <cell r="M13">
            <v>42844.864307657343</v>
          </cell>
        </row>
        <row r="14">
          <cell r="M14">
            <v>0</v>
          </cell>
        </row>
        <row r="15">
          <cell r="M15">
            <v>73</v>
          </cell>
        </row>
        <row r="17">
          <cell r="M17">
            <v>42771.864307657343</v>
          </cell>
        </row>
        <row r="18">
          <cell r="M18">
            <v>3782.015348990667</v>
          </cell>
        </row>
        <row r="25">
          <cell r="M25">
            <v>33435.725802000001</v>
          </cell>
        </row>
        <row r="28">
          <cell r="M28">
            <v>2576.7764900000002</v>
          </cell>
        </row>
        <row r="29">
          <cell r="M29">
            <v>1554.0466666666671</v>
          </cell>
        </row>
      </sheetData>
      <sheetData sheetId="7">
        <row r="12">
          <cell r="M12">
            <v>0</v>
          </cell>
        </row>
        <row r="13">
          <cell r="M13">
            <v>35868.662949392005</v>
          </cell>
        </row>
        <row r="14">
          <cell r="M14">
            <v>0</v>
          </cell>
        </row>
        <row r="15">
          <cell r="M15">
            <v>0</v>
          </cell>
        </row>
        <row r="17">
          <cell r="M17">
            <v>35868.662949392005</v>
          </cell>
        </row>
        <row r="18">
          <cell r="M18">
            <v>3021.9020067253332</v>
          </cell>
        </row>
        <row r="25">
          <cell r="M25">
            <v>24761.249989333333</v>
          </cell>
        </row>
        <row r="28">
          <cell r="M28">
            <v>2622.15</v>
          </cell>
        </row>
        <row r="29">
          <cell r="M29">
            <v>240.06095333333337</v>
          </cell>
        </row>
      </sheetData>
      <sheetData sheetId="8">
        <row r="13">
          <cell r="M13">
            <v>16970.399077096001</v>
          </cell>
        </row>
        <row r="14">
          <cell r="M14">
            <v>0</v>
          </cell>
        </row>
        <row r="15">
          <cell r="M15">
            <v>2961.0944999999997</v>
          </cell>
        </row>
        <row r="17">
          <cell r="M17">
            <v>14009.304577096</v>
          </cell>
        </row>
        <row r="18">
          <cell r="M18">
            <v>1411.0090940959999</v>
          </cell>
        </row>
        <row r="25">
          <cell r="M25">
            <v>10570.059483000001</v>
          </cell>
        </row>
        <row r="28">
          <cell r="M28">
            <v>740.17600000000004</v>
          </cell>
        </row>
        <row r="29">
          <cell r="M29">
            <v>873.46</v>
          </cell>
        </row>
      </sheetData>
      <sheetData sheetId="9">
        <row r="12">
          <cell r="M12">
            <v>0</v>
          </cell>
        </row>
        <row r="13">
          <cell r="M13">
            <v>5206.3134788133339</v>
          </cell>
        </row>
        <row r="14">
          <cell r="M14">
            <v>0</v>
          </cell>
        </row>
        <row r="15">
          <cell r="M15">
            <v>0</v>
          </cell>
        </row>
        <row r="17">
          <cell r="M17">
            <v>5206.3134788133339</v>
          </cell>
        </row>
        <row r="18">
          <cell r="M18">
            <v>524.37689714666658</v>
          </cell>
        </row>
        <row r="25">
          <cell r="M25">
            <v>3572.9320900000002</v>
          </cell>
        </row>
        <row r="28">
          <cell r="M28">
            <v>203.37549166666668</v>
          </cell>
        </row>
        <row r="29">
          <cell r="M29">
            <v>153.029</v>
          </cell>
        </row>
      </sheetData>
      <sheetData sheetId="10">
        <row r="12">
          <cell r="M12">
            <v>0</v>
          </cell>
        </row>
        <row r="13">
          <cell r="M13">
            <v>128233.57996975647</v>
          </cell>
        </row>
        <row r="14">
          <cell r="M14">
            <v>0</v>
          </cell>
        </row>
        <row r="15">
          <cell r="M15">
            <v>140.4</v>
          </cell>
        </row>
        <row r="17">
          <cell r="M17">
            <v>128093.17996975647</v>
          </cell>
        </row>
        <row r="18">
          <cell r="M18">
            <v>3971.8815494498131</v>
          </cell>
        </row>
        <row r="25">
          <cell r="M25">
            <v>50662.514058000001</v>
          </cell>
        </row>
        <row r="28">
          <cell r="M28">
            <v>3237.2860000000001</v>
          </cell>
        </row>
        <row r="29">
          <cell r="M29">
            <v>2062.7683000000006</v>
          </cell>
        </row>
      </sheetData>
      <sheetData sheetId="11">
        <row r="12">
          <cell r="M12">
            <v>0</v>
          </cell>
        </row>
        <row r="13">
          <cell r="M13">
            <v>21447.420664438003</v>
          </cell>
        </row>
        <row r="14">
          <cell r="M14">
            <v>0</v>
          </cell>
        </row>
        <row r="15">
          <cell r="M15">
            <v>5.9</v>
          </cell>
        </row>
        <row r="17">
          <cell r="M17">
            <v>21441.520664438001</v>
          </cell>
        </row>
        <row r="18">
          <cell r="M18">
            <v>784.94969677133327</v>
          </cell>
        </row>
        <row r="25">
          <cell r="M25">
            <v>8938.6859503333326</v>
          </cell>
        </row>
        <row r="28">
          <cell r="M28">
            <v>685.37472666666679</v>
          </cell>
        </row>
        <row r="29">
          <cell r="M29">
            <v>250.67316666666667</v>
          </cell>
        </row>
      </sheetData>
      <sheetData sheetId="12">
        <row r="12">
          <cell r="M12">
            <v>0</v>
          </cell>
        </row>
        <row r="13">
          <cell r="M13">
            <v>21186.158319023998</v>
          </cell>
        </row>
        <row r="14">
          <cell r="M14">
            <v>0</v>
          </cell>
        </row>
        <row r="15">
          <cell r="M15">
            <v>0</v>
          </cell>
        </row>
        <row r="17">
          <cell r="M17">
            <v>21186.158319023998</v>
          </cell>
        </row>
        <row r="18">
          <cell r="M18">
            <v>1236.8567003573332</v>
          </cell>
        </row>
        <row r="25">
          <cell r="M25">
            <v>15128.294405333334</v>
          </cell>
        </row>
        <row r="28">
          <cell r="M28">
            <v>986.15621333333331</v>
          </cell>
        </row>
        <row r="29">
          <cell r="M29">
            <v>652.25100000000009</v>
          </cell>
        </row>
      </sheetData>
      <sheetData sheetId="13">
        <row r="12">
          <cell r="M12">
            <v>0</v>
          </cell>
        </row>
        <row r="13">
          <cell r="M13">
            <v>14214.637847233331</v>
          </cell>
        </row>
        <row r="14">
          <cell r="M14">
            <v>0</v>
          </cell>
        </row>
        <row r="15">
          <cell r="M15">
            <v>285</v>
          </cell>
        </row>
        <row r="17">
          <cell r="M17">
            <v>13929.637847233331</v>
          </cell>
        </row>
        <row r="18">
          <cell r="M18">
            <v>339.74726456666667</v>
          </cell>
        </row>
        <row r="25">
          <cell r="M25">
            <v>10148.130278333332</v>
          </cell>
        </row>
        <row r="28">
          <cell r="M28">
            <v>378.66266666666661</v>
          </cell>
        </row>
        <row r="29">
          <cell r="M29">
            <v>409.94666666666672</v>
          </cell>
        </row>
      </sheetData>
      <sheetData sheetId="14">
        <row r="12">
          <cell r="M12">
            <v>0</v>
          </cell>
        </row>
        <row r="13">
          <cell r="M13">
            <v>170177.33510972551</v>
          </cell>
        </row>
        <row r="14">
          <cell r="M14">
            <v>0</v>
          </cell>
        </row>
        <row r="15">
          <cell r="M15">
            <v>2412.018</v>
          </cell>
        </row>
        <row r="17">
          <cell r="M17">
            <v>167765.3171097255</v>
          </cell>
        </row>
        <row r="18">
          <cell r="M18">
            <v>8292.5822145491693</v>
          </cell>
        </row>
        <row r="25">
          <cell r="M25">
            <v>68489.48090166667</v>
          </cell>
        </row>
        <row r="28">
          <cell r="M28">
            <v>8228.8041033333338</v>
          </cell>
        </row>
        <row r="29">
          <cell r="M29">
            <v>3325.9491211763179</v>
          </cell>
        </row>
      </sheetData>
      <sheetData sheetId="15">
        <row r="12">
          <cell r="M12">
            <v>0</v>
          </cell>
        </row>
        <row r="13">
          <cell r="M13">
            <v>43361.602679000003</v>
          </cell>
        </row>
        <row r="14">
          <cell r="M14">
            <v>0</v>
          </cell>
        </row>
        <row r="15">
          <cell r="M15">
            <v>0</v>
          </cell>
        </row>
        <row r="17">
          <cell r="M17">
            <v>43361.602679000003</v>
          </cell>
        </row>
        <row r="18">
          <cell r="M18">
            <v>10450</v>
          </cell>
        </row>
        <row r="25">
          <cell r="M25">
            <v>25822.364679000002</v>
          </cell>
        </row>
        <row r="28">
          <cell r="M28">
            <v>717.904</v>
          </cell>
        </row>
        <row r="29">
          <cell r="M29">
            <v>155.73400000000001</v>
          </cell>
        </row>
      </sheetData>
      <sheetData sheetId="16">
        <row r="12">
          <cell r="M12">
            <v>0</v>
          </cell>
        </row>
        <row r="13">
          <cell r="M13">
            <v>18084.667471666668</v>
          </cell>
        </row>
        <row r="15">
          <cell r="M15">
            <v>0</v>
          </cell>
        </row>
        <row r="17">
          <cell r="M17">
            <v>18084.667471666668</v>
          </cell>
        </row>
        <row r="18">
          <cell r="M18">
            <v>4400</v>
          </cell>
        </row>
        <row r="25">
          <cell r="M25">
            <v>5186.4678486666662</v>
          </cell>
        </row>
        <row r="28">
          <cell r="M28">
            <v>4.583009333333333</v>
          </cell>
        </row>
        <row r="29">
          <cell r="M29">
            <v>54.295666666666669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СВОД Филиал"/>
      <sheetName val="Свод Угольные Копи"/>
      <sheetName val="Свод Канчалан"/>
      <sheetName val="Свод Усть-Белая"/>
      <sheetName val="Свод Снежное"/>
      <sheetName val="Свод Краснено"/>
      <sheetName val="Свод Село5"/>
      <sheetName val="ИД"/>
      <sheetName val="Произв. программа"/>
      <sheetName val="Топливо"/>
      <sheetName val="Мат. баланс"/>
      <sheetName val="Тепло"/>
      <sheetName val="Эл-во"/>
      <sheetName val="Вода"/>
      <sheetName val="Водотв и ТБО"/>
      <sheetName val="ПП Угольные Копи"/>
      <sheetName val="ПП РЦ-Селам"/>
      <sheetName val="ПП Канчалан"/>
      <sheetName val="ПП Усть-Белая"/>
      <sheetName val="ПП У-Белая-селам"/>
      <sheetName val="ПП Снежное"/>
      <sheetName val="ПП Село5"/>
      <sheetName val="ПП Краснено"/>
      <sheetName val="АТХ-перевозка"/>
      <sheetName val="Амортизация"/>
      <sheetName val="Амортизация общ"/>
      <sheetName val="Аренда"/>
      <sheetName val="РасхПроч"/>
      <sheetName val="Расшифровка прочих"/>
      <sheetName val="Расчеты прочих"/>
      <sheetName val="ЦехПроч"/>
      <sheetName val="ОТ"/>
      <sheetName val="ФОТ"/>
      <sheetName val="ФОТ_подр"/>
      <sheetName val="Произв. общ"/>
      <sheetName val="ЦехСодЗд"/>
      <sheetName val="УслВспПр-в"/>
      <sheetName val="УслРЦ"/>
      <sheetName val="УслУ-белая-селам"/>
      <sheetName val="УслАнад"/>
      <sheetName val="АТХ-распр"/>
      <sheetName val="ОХРраспр"/>
      <sheetName val="Прибыль"/>
      <sheetName val="Спецодежда"/>
      <sheetName val="Расчет тарифов"/>
      <sheetName val="Баланс Филиал"/>
    </sheetNames>
    <sheetDataSet>
      <sheetData sheetId="0"/>
      <sheetData sheetId="1">
        <row r="16">
          <cell r="G16">
            <v>64</v>
          </cell>
        </row>
      </sheetData>
      <sheetData sheetId="2">
        <row r="15">
          <cell r="F15">
            <v>42464.159253572951</v>
          </cell>
        </row>
        <row r="16">
          <cell r="F16">
            <v>1668.1133333333335</v>
          </cell>
        </row>
        <row r="21">
          <cell r="F21">
            <v>1512.9666666666667</v>
          </cell>
        </row>
        <row r="23">
          <cell r="F23">
            <v>66101.715911000007</v>
          </cell>
        </row>
        <row r="40">
          <cell r="F40">
            <v>1053.3333333333333</v>
          </cell>
        </row>
        <row r="56">
          <cell r="F56">
            <v>339.28333333333336</v>
          </cell>
        </row>
        <row r="69">
          <cell r="F69">
            <v>27.666666666666668</v>
          </cell>
        </row>
      </sheetData>
      <sheetData sheetId="3">
        <row r="15">
          <cell r="F15">
            <v>1857.107082246351</v>
          </cell>
        </row>
        <row r="16">
          <cell r="F16">
            <v>69</v>
          </cell>
        </row>
        <row r="18">
          <cell r="F18">
            <v>434.4</v>
          </cell>
        </row>
        <row r="23">
          <cell r="F23">
            <v>48.817999999999998</v>
          </cell>
        </row>
        <row r="69">
          <cell r="F69">
            <v>7.6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D6">
            <v>1309.8870000000002</v>
          </cell>
        </row>
      </sheetData>
      <sheetData sheetId="13"/>
      <sheetData sheetId="14">
        <row r="12">
          <cell r="D12">
            <v>66101.715911000007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8">
          <cell r="D8" t="str">
            <v>Теплоснабжение</v>
          </cell>
        </row>
      </sheetData>
      <sheetData sheetId="26"/>
      <sheetData sheetId="27"/>
      <sheetData sheetId="28">
        <row r="8">
          <cell r="J8">
            <v>235.87620000000001</v>
          </cell>
        </row>
      </sheetData>
      <sheetData sheetId="29">
        <row r="10">
          <cell r="AF10">
            <v>12.754747979999998</v>
          </cell>
        </row>
      </sheetData>
      <sheetData sheetId="30"/>
      <sheetData sheetId="31"/>
      <sheetData sheetId="32"/>
      <sheetData sheetId="33">
        <row r="17">
          <cell r="N17">
            <v>16405.099999999999</v>
          </cell>
        </row>
      </sheetData>
      <sheetData sheetId="34"/>
      <sheetData sheetId="35">
        <row r="11">
          <cell r="C11">
            <v>4375.9430000000002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>
        <row r="13">
          <cell r="C13">
            <v>28.490000000000002</v>
          </cell>
        </row>
      </sheetData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СВОД Филиал"/>
      <sheetName val="Свод Беринговский"/>
      <sheetName val="Свод Алькатваам"/>
      <sheetName val="Свод Мейныпильгино"/>
      <sheetName val="Свод Хатырка"/>
      <sheetName val="Свод Село4"/>
      <sheetName val="Свод Село5"/>
      <sheetName val="ИД"/>
      <sheetName val="Произв. программа"/>
      <sheetName val="Мат. баланс"/>
      <sheetName val="Топливо"/>
      <sheetName val="Тепло"/>
      <sheetName val="Эл-во"/>
      <sheetName val="Вода"/>
      <sheetName val="Водотв и ТБО"/>
      <sheetName val="ПП Беринговский"/>
      <sheetName val="ПП РЦ-Селам"/>
      <sheetName val="ПП Алькатваам"/>
      <sheetName val="ПП Мейныпильгино"/>
      <sheetName val="ПП Хатырка"/>
      <sheetName val="ПП Село4"/>
      <sheetName val="ПП Село5"/>
      <sheetName val="АТХ-перевозка"/>
      <sheetName val="Амортизация"/>
      <sheetName val="Амортизация общ"/>
      <sheetName val="Аренда"/>
      <sheetName val="РасхПроч"/>
      <sheetName val="Расшифровка прочих"/>
      <sheetName val="Расчеты прочих"/>
      <sheetName val="ЦехПроч"/>
      <sheetName val="ОТ"/>
      <sheetName val="ФОТ"/>
      <sheetName val="ФОТ_подр"/>
      <sheetName val="Произв. общ"/>
      <sheetName val="ЦехСодЗд"/>
      <sheetName val="УслВспПр-в"/>
      <sheetName val="УслРЦ"/>
      <sheetName val="УслАнад"/>
      <sheetName val="АТХ-распр"/>
      <sheetName val="ОХРраспр"/>
      <sheetName val="Спецодежда"/>
      <sheetName val="Прибыль"/>
      <sheetName val="Расчет тарифов"/>
      <sheetName val="Баланс Филиал"/>
    </sheetNames>
    <sheetDataSet>
      <sheetData sheetId="0"/>
      <sheetData sheetId="1"/>
      <sheetData sheetId="2">
        <row r="15">
          <cell r="F15">
            <v>15300.978668499041</v>
          </cell>
        </row>
        <row r="16">
          <cell r="F16">
            <v>2829.1</v>
          </cell>
        </row>
        <row r="23">
          <cell r="F23">
            <v>49373.160726999995</v>
          </cell>
        </row>
        <row r="25">
          <cell r="F25">
            <v>334.6</v>
          </cell>
        </row>
        <row r="69">
          <cell r="F69">
            <v>107.7</v>
          </cell>
        </row>
      </sheetData>
      <sheetData sheetId="3">
        <row r="15">
          <cell r="F15">
            <v>6379</v>
          </cell>
        </row>
        <row r="16">
          <cell r="F16">
            <v>4.2</v>
          </cell>
        </row>
        <row r="18">
          <cell r="F18">
            <v>0</v>
          </cell>
        </row>
        <row r="23">
          <cell r="F23">
            <v>4390.7371239999993</v>
          </cell>
        </row>
        <row r="69">
          <cell r="F69">
            <v>7.9</v>
          </cell>
        </row>
      </sheetData>
      <sheetData sheetId="4">
        <row r="15">
          <cell r="F15">
            <v>1347</v>
          </cell>
        </row>
        <row r="16">
          <cell r="F16">
            <v>12.2</v>
          </cell>
        </row>
        <row r="18">
          <cell r="F18">
            <v>80.8</v>
          </cell>
        </row>
        <row r="23">
          <cell r="F23">
            <v>855.65112699999997</v>
          </cell>
        </row>
        <row r="25">
          <cell r="F25">
            <v>0</v>
          </cell>
        </row>
        <row r="69">
          <cell r="F69">
            <v>36.6</v>
          </cell>
        </row>
      </sheetData>
      <sheetData sheetId="5">
        <row r="15">
          <cell r="F15">
            <v>523</v>
          </cell>
        </row>
        <row r="16">
          <cell r="F16">
            <v>76.900000000000006</v>
          </cell>
        </row>
        <row r="18">
          <cell r="F18">
            <v>14.6</v>
          </cell>
        </row>
        <row r="23">
          <cell r="F23">
            <v>2019.5509709999999</v>
          </cell>
        </row>
        <row r="25">
          <cell r="F25">
            <v>0</v>
          </cell>
        </row>
        <row r="69">
          <cell r="F69">
            <v>19.100000000000001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27">
          <cell r="AP227">
            <v>624527.4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17">
          <cell r="N17">
            <v>12170.399999999998</v>
          </cell>
        </row>
      </sheetData>
      <sheetData sheetId="33"/>
      <sheetData sheetId="34">
        <row r="106">
          <cell r="H106">
            <v>13822.048647849551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СВОД Филиал"/>
      <sheetName val="Свод Усть-Белая"/>
      <sheetName val="Свод Марково"/>
      <sheetName val="Свод Ваеги"/>
      <sheetName val="Свод Ламутское"/>
      <sheetName val="Свод Чуванское"/>
      <sheetName val="Свод Снежное"/>
      <sheetName val="РасхПроч"/>
      <sheetName val="Расшифровка прочих"/>
      <sheetName val="ИД"/>
      <sheetName val="Мат. баланс"/>
      <sheetName val="Произв. программа"/>
      <sheetName val="Топливо"/>
      <sheetName val="Тепло"/>
      <sheetName val="Эл-во"/>
      <sheetName val="Вода"/>
      <sheetName val="Водотв и ТБО"/>
      <sheetName val="ПП Марково"/>
      <sheetName val="ПП РЦ-Селам"/>
      <sheetName val="ПП Ваеги"/>
      <sheetName val="ПП Ваеги - селам"/>
      <sheetName val="ПП Ламутское"/>
      <sheetName val="ПП Чуванское"/>
      <sheetName val="ПП Усть-Белая"/>
      <sheetName val="ПП Снежное"/>
      <sheetName val="АТХ-перевозка"/>
      <sheetName val="Амортизация"/>
      <sheetName val="Аренда"/>
      <sheetName val="Расчеты прочих"/>
      <sheetName val="ЦехПроч"/>
      <sheetName val="ОТ"/>
      <sheetName val="ФОТ"/>
      <sheetName val="ФОТ_подр"/>
      <sheetName val="Амортизация общ"/>
      <sheetName val="Произв. общ"/>
      <sheetName val="ЦехСодЗд"/>
      <sheetName val="УслВспПр-в"/>
      <sheetName val="УслРЦ"/>
      <sheetName val="УслВаеги-селам"/>
      <sheetName val="УслАнад"/>
      <sheetName val="АТХ-распр"/>
      <sheetName val="ОХРраспр"/>
      <sheetName val="Прибыль"/>
      <sheetName val="Спецодежда"/>
      <sheetName val="Расчет тарифов"/>
      <sheetName val="Баланс Филиал"/>
    </sheetNames>
    <sheetDataSet>
      <sheetData sheetId="0"/>
      <sheetData sheetId="1"/>
      <sheetData sheetId="2">
        <row r="15">
          <cell r="F15">
            <v>668</v>
          </cell>
        </row>
        <row r="16">
          <cell r="F16">
            <v>381.5</v>
          </cell>
        </row>
        <row r="18">
          <cell r="F18">
            <v>62.5</v>
          </cell>
        </row>
        <row r="20">
          <cell r="F20">
            <v>0</v>
          </cell>
        </row>
        <row r="22">
          <cell r="F22">
            <v>0</v>
          </cell>
        </row>
        <row r="23">
          <cell r="F23">
            <v>4525.3996519999992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12.9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51.7</v>
          </cell>
        </row>
        <row r="70">
          <cell r="F70">
            <v>0</v>
          </cell>
        </row>
        <row r="71">
          <cell r="F71">
            <v>0</v>
          </cell>
        </row>
      </sheetData>
      <sheetData sheetId="3">
        <row r="15">
          <cell r="F15">
            <v>874</v>
          </cell>
        </row>
        <row r="16">
          <cell r="F16">
            <v>103.5</v>
          </cell>
        </row>
        <row r="18">
          <cell r="F18">
            <v>88.9</v>
          </cell>
        </row>
        <row r="20">
          <cell r="F20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155.1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159.1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42.7</v>
          </cell>
        </row>
        <row r="70">
          <cell r="F70">
            <v>0</v>
          </cell>
        </row>
        <row r="71">
          <cell r="F71">
            <v>0</v>
          </cell>
        </row>
      </sheetData>
      <sheetData sheetId="4">
        <row r="15">
          <cell r="F15">
            <v>248</v>
          </cell>
        </row>
        <row r="16">
          <cell r="F16">
            <v>2.7</v>
          </cell>
        </row>
        <row r="18">
          <cell r="F18">
            <v>149.69999999999999</v>
          </cell>
        </row>
        <row r="20">
          <cell r="F20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14.2</v>
          </cell>
        </row>
        <row r="70">
          <cell r="F70">
            <v>0</v>
          </cell>
        </row>
        <row r="71">
          <cell r="F71">
            <v>0</v>
          </cell>
        </row>
      </sheetData>
      <sheetData sheetId="5"/>
      <sheetData sheetId="6"/>
      <sheetData sheetId="7">
        <row r="15">
          <cell r="F15">
            <v>530</v>
          </cell>
        </row>
        <row r="16">
          <cell r="F16">
            <v>106.8</v>
          </cell>
        </row>
        <row r="18">
          <cell r="F18">
            <v>76.3</v>
          </cell>
        </row>
        <row r="20">
          <cell r="F20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36.700000000000003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2.8</v>
          </cell>
        </row>
        <row r="70">
          <cell r="F70">
            <v>0</v>
          </cell>
        </row>
        <row r="71">
          <cell r="F71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СВОД Филиал"/>
      <sheetName val="Свод Провидения"/>
      <sheetName val="Свод Новое Чаплино"/>
      <sheetName val="Свод Сиреники"/>
      <sheetName val="Свод Нунлигран"/>
      <sheetName val="Свод Энмелен"/>
      <sheetName val="Свод Янракыннот"/>
      <sheetName val="ИД"/>
      <sheetName val="Произв. программа"/>
      <sheetName val="Мат. баланс"/>
      <sheetName val="Топливо"/>
      <sheetName val="БПК с.Янракын."/>
      <sheetName val="Доп.Эл-во"/>
      <sheetName val="Тепло"/>
      <sheetName val="Эл-во"/>
      <sheetName val="Вода"/>
      <sheetName val="Водотв и ТБО"/>
      <sheetName val="ПП РЦ-СЕЛАМ (доп)"/>
      <sheetName val="ПП Провидения"/>
      <sheetName val="ПП РЦ-Селам"/>
      <sheetName val="ПП Новое Чаплино"/>
      <sheetName val="ПП Сиреники"/>
      <sheetName val="ПП Нунлигран"/>
      <sheetName val="ПП Энмелен"/>
      <sheetName val="ПП Янракыннот"/>
      <sheetName val="АТХ-прочие"/>
      <sheetName val="АТХ-перевозка"/>
      <sheetName val="Амортизация"/>
      <sheetName val="Амортизация общ"/>
      <sheetName val="Аренда"/>
      <sheetName val="РасхПроч"/>
      <sheetName val="Расшифровка прочих"/>
      <sheetName val="Хранение"/>
      <sheetName val="Доп.расчет прочих"/>
      <sheetName val="Расчеты прочих"/>
      <sheetName val="ЦехПроч"/>
      <sheetName val="ОТ"/>
      <sheetName val="Расч.ОхрПроч"/>
      <sheetName val="ФОТ"/>
      <sheetName val="ФОТ_подр"/>
      <sheetName val="Произв. общ"/>
      <sheetName val="ЦехСодЗд"/>
      <sheetName val="УслВспПр-в"/>
      <sheetName val="УслРЦ"/>
      <sheetName val="УслАнад"/>
      <sheetName val="АТХ-распр"/>
      <sheetName val="ОХРраспр"/>
      <sheetName val="Прибыль"/>
      <sheetName val="Спецодежда"/>
      <sheetName val="Расчет тарифов"/>
      <sheetName val="Баланс Филиал"/>
      <sheetName val="Лист1"/>
    </sheetNames>
    <sheetDataSet>
      <sheetData sheetId="0"/>
      <sheetData sheetId="1"/>
      <sheetData sheetId="2">
        <row r="15">
          <cell r="F15">
            <v>2920</v>
          </cell>
        </row>
        <row r="16">
          <cell r="F16">
            <v>487.7</v>
          </cell>
        </row>
        <row r="18">
          <cell r="F18">
            <v>155.1</v>
          </cell>
        </row>
        <row r="20">
          <cell r="F20">
            <v>0</v>
          </cell>
        </row>
        <row r="22">
          <cell r="F22">
            <v>0</v>
          </cell>
        </row>
        <row r="23">
          <cell r="F23">
            <v>309</v>
          </cell>
        </row>
        <row r="24">
          <cell r="F24">
            <v>0</v>
          </cell>
        </row>
        <row r="25">
          <cell r="F25">
            <v>110.3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70790.856157702088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137.19999999999999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23.4</v>
          </cell>
        </row>
        <row r="70">
          <cell r="F70">
            <v>0</v>
          </cell>
        </row>
        <row r="71">
          <cell r="F71">
            <v>0</v>
          </cell>
        </row>
      </sheetData>
      <sheetData sheetId="3">
        <row r="15">
          <cell r="F15">
            <v>6140</v>
          </cell>
        </row>
        <row r="16">
          <cell r="F16">
            <v>75.599999999999994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</sheetData>
      <sheetData sheetId="4">
        <row r="14">
          <cell r="G14">
            <v>312.39999999999998</v>
          </cell>
        </row>
        <row r="15">
          <cell r="F15">
            <v>2095</v>
          </cell>
        </row>
        <row r="16">
          <cell r="F16">
            <v>114.4</v>
          </cell>
        </row>
        <row r="18">
          <cell r="F18">
            <v>0</v>
          </cell>
        </row>
        <row r="20">
          <cell r="F20">
            <v>0</v>
          </cell>
        </row>
        <row r="21">
          <cell r="F21">
            <v>1605.2000000000003</v>
          </cell>
        </row>
        <row r="22">
          <cell r="F22">
            <v>0</v>
          </cell>
        </row>
        <row r="23">
          <cell r="F23">
            <v>4649.8195669999996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</sheetData>
      <sheetData sheetId="5">
        <row r="134">
          <cell r="G134">
            <v>1079.5999999999999</v>
          </cell>
        </row>
      </sheetData>
      <sheetData sheetId="6">
        <row r="15">
          <cell r="G15">
            <v>395</v>
          </cell>
        </row>
      </sheetData>
      <sheetData sheetId="7">
        <row r="134">
          <cell r="G134">
            <v>539.79999999999995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7">
          <cell r="AO27">
            <v>17719393.740000002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7">
          <cell r="S17">
            <v>1495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86">
          <cell r="C86">
            <v>1.2949999999999999</v>
          </cell>
        </row>
      </sheetData>
      <sheetData sheetId="49"/>
      <sheetData sheetId="50"/>
      <sheetData sheetId="51"/>
      <sheetData sheetId="5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 парам"/>
      <sheetName val="индексы"/>
      <sheetName val="недополу доход"/>
      <sheetName val="Корректировка"/>
      <sheetName val="Баланс 2021 факт %"/>
      <sheetName val="ЭЭ"/>
      <sheetName val="ТЭ"/>
      <sheetName val="Свод "/>
      <sheetName val="У_Копи"/>
      <sheetName val="Канч"/>
      <sheetName val="Марк"/>
      <sheetName val="У_Бел"/>
      <sheetName val="Снежн"/>
      <sheetName val="Ваеги"/>
      <sheetName val="Беринг"/>
      <sheetName val="Алькат"/>
      <sheetName val="Мейнып"/>
      <sheetName val="Хатыр"/>
      <sheetName val="Провид"/>
      <sheetName val="Н_Чапл"/>
      <sheetName val="Сирен"/>
      <sheetName val="ЭОР ИСКЛ. для сдерж. роста"/>
      <sheetName val="Аморт факт 2021"/>
      <sheetName val="Аморт на 2023"/>
      <sheetName val="формула"/>
      <sheetName val="АУП"/>
      <sheetName val="прибыль "/>
      <sheetName val="Лист4"/>
      <sheetName val="Лист6"/>
      <sheetName val="2-ТП (водхоз)"/>
      <sheetName val="Анализ &quot;Ремонт&quot;"/>
      <sheetName val="распределение 25.26 по УП (П-4)"/>
      <sheetName val="факт ОСВ 20 вода"/>
      <sheetName val="факт ОСВ 20 тепло_электро"/>
      <sheetName val="факт ОСВ 20 водоотв."/>
      <sheetName val="факт орг 2021"/>
      <sheetName val="принято тар. реш. 2021"/>
      <sheetName val="принято тар. реш. 2022"/>
      <sheetName val="нормативная прибыль"/>
      <sheetName val="для налога на имущество"/>
      <sheetName val="Лист5"/>
      <sheetName val="Лист1"/>
      <sheetName val="Лист2"/>
    </sheetNames>
    <sheetDataSet>
      <sheetData sheetId="0">
        <row r="18">
          <cell r="F18">
            <v>7.6509986319012722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1">
          <cell r="F1" t="str">
            <v>Участок Угольные Копи</v>
          </cell>
          <cell r="G1" t="str">
            <v>Участок Канчалан</v>
          </cell>
          <cell r="H1" t="str">
            <v>Участок Марково</v>
          </cell>
          <cell r="I1" t="str">
            <v>Участок Усть Белая</v>
          </cell>
          <cell r="J1" t="str">
            <v>Участок Снежное</v>
          </cell>
          <cell r="K1" t="str">
            <v>Участок Ваеги</v>
          </cell>
          <cell r="L1" t="str">
            <v>Участок Беринговский</v>
          </cell>
          <cell r="M1" t="str">
            <v>Участок Алькатваам</v>
          </cell>
          <cell r="N1" t="str">
            <v>Участок Мейныпильгино</v>
          </cell>
          <cell r="O1" t="str">
            <v>Участок Хатырка</v>
          </cell>
          <cell r="P1" t="str">
            <v>Участок Провидения</v>
          </cell>
          <cell r="Q1" t="str">
            <v>Участок Чаплино</v>
          </cell>
          <cell r="R1" t="str">
            <v>Участок Сиреники</v>
          </cell>
        </row>
        <row r="34">
          <cell r="F34">
            <v>279230.20330144837</v>
          </cell>
          <cell r="G34">
            <v>30591.488985998676</v>
          </cell>
          <cell r="H34">
            <v>42984.79097421842</v>
          </cell>
          <cell r="I34">
            <v>37558.921438078003</v>
          </cell>
          <cell r="J34">
            <v>5971.4351468444447</v>
          </cell>
          <cell r="K34">
            <v>14183.02405587813</v>
          </cell>
          <cell r="L34">
            <v>132709.84106068523</v>
          </cell>
          <cell r="M34">
            <v>20972.106765308217</v>
          </cell>
          <cell r="N34">
            <v>20902.825940852665</v>
          </cell>
          <cell r="O34">
            <v>14371.054061593946</v>
          </cell>
          <cell r="P34">
            <v>171487.64654644165</v>
          </cell>
          <cell r="Q34">
            <v>44258.426865559581</v>
          </cell>
          <cell r="R34">
            <v>17434.231551801407</v>
          </cell>
        </row>
      </sheetData>
      <sheetData sheetId="6" refreshError="1"/>
      <sheetData sheetId="7" refreshError="1"/>
      <sheetData sheetId="8">
        <row r="13">
          <cell r="M13">
            <v>92153.726405352383</v>
          </cell>
        </row>
        <row r="14">
          <cell r="Q14">
            <v>187277.00550449445</v>
          </cell>
        </row>
        <row r="15">
          <cell r="Q15">
            <v>200.52860839840918</v>
          </cell>
        </row>
        <row r="18">
          <cell r="M18">
            <v>9345</v>
          </cell>
        </row>
        <row r="22">
          <cell r="M22">
            <v>118131.82970556788</v>
          </cell>
        </row>
        <row r="26">
          <cell r="M26">
            <v>116578.22720178655</v>
          </cell>
        </row>
        <row r="28">
          <cell r="M28">
            <v>19167.649918593936</v>
          </cell>
        </row>
        <row r="29">
          <cell r="M29">
            <v>16007.496475499998</v>
          </cell>
        </row>
        <row r="52">
          <cell r="Q52">
            <v>4469.952453805804</v>
          </cell>
        </row>
        <row r="117">
          <cell r="Q117">
            <v>226251.56971291854</v>
          </cell>
        </row>
      </sheetData>
      <sheetData sheetId="9">
        <row r="13">
          <cell r="M13">
            <v>30591.488985998676</v>
          </cell>
        </row>
        <row r="18">
          <cell r="M18">
            <v>2340.5544037969871</v>
          </cell>
        </row>
        <row r="22">
          <cell r="M22">
            <v>2555.3671500000005</v>
          </cell>
        </row>
        <row r="27">
          <cell r="M27">
            <v>22975.631128259996</v>
          </cell>
        </row>
        <row r="28">
          <cell r="M28">
            <v>1826.9998499999999</v>
          </cell>
        </row>
        <row r="29">
          <cell r="M29">
            <v>892.97585666666657</v>
          </cell>
        </row>
        <row r="52">
          <cell r="Q52">
            <v>7976.581681253514</v>
          </cell>
        </row>
        <row r="117">
          <cell r="Q117">
            <v>22031.740172664129</v>
          </cell>
        </row>
      </sheetData>
      <sheetData sheetId="10">
        <row r="13">
          <cell r="M13">
            <v>43061.429618662864</v>
          </cell>
        </row>
        <row r="15">
          <cell r="Q15">
            <v>76.638644444444452</v>
          </cell>
        </row>
        <row r="18">
          <cell r="M18">
            <v>4183.2798576109362</v>
          </cell>
        </row>
        <row r="22">
          <cell r="M22">
            <v>1494.4650000000001</v>
          </cell>
        </row>
        <row r="27">
          <cell r="M27">
            <v>33098.348525657428</v>
          </cell>
        </row>
        <row r="28">
          <cell r="M28">
            <v>2577.0535688968844</v>
          </cell>
        </row>
        <row r="29">
          <cell r="M29">
            <v>1631.7490000000005</v>
          </cell>
        </row>
        <row r="52">
          <cell r="Q52">
            <v>4620.1545111997975</v>
          </cell>
        </row>
        <row r="117">
          <cell r="Q117">
            <v>28074.499171272735</v>
          </cell>
        </row>
      </sheetData>
      <sheetData sheetId="11">
        <row r="13">
          <cell r="M13">
            <v>37558.921438078003</v>
          </cell>
        </row>
        <row r="18">
          <cell r="M18">
            <v>3465.1861267710951</v>
          </cell>
        </row>
        <row r="22">
          <cell r="M22">
            <v>5484.4649999999992</v>
          </cell>
        </row>
        <row r="27">
          <cell r="M27">
            <v>25832.392920809514</v>
          </cell>
        </row>
        <row r="28">
          <cell r="M28">
            <v>2524.8659373403693</v>
          </cell>
        </row>
        <row r="29">
          <cell r="M29">
            <v>252.06400100000005</v>
          </cell>
        </row>
        <row r="117">
          <cell r="Q117">
            <v>18792.735683426832</v>
          </cell>
        </row>
      </sheetData>
      <sheetData sheetId="12">
        <row r="13">
          <cell r="M13">
            <v>5971.4351468444447</v>
          </cell>
        </row>
        <row r="15">
          <cell r="Q15">
            <v>0</v>
          </cell>
        </row>
        <row r="18">
          <cell r="M18">
            <v>1051.4503006563696</v>
          </cell>
        </row>
        <row r="22">
          <cell r="M22">
            <v>790.2299999999999</v>
          </cell>
        </row>
        <row r="27">
          <cell r="M27">
            <v>3771.7305979211906</v>
          </cell>
        </row>
        <row r="28">
          <cell r="M28">
            <v>197.3570410438841</v>
          </cell>
        </row>
        <row r="29">
          <cell r="M29">
            <v>160.68045000000001</v>
          </cell>
        </row>
        <row r="117">
          <cell r="Q117">
            <v>5012.9413449947415</v>
          </cell>
        </row>
      </sheetData>
      <sheetData sheetId="13">
        <row r="13">
          <cell r="M13">
            <v>17292.173280878131</v>
          </cell>
        </row>
        <row r="14">
          <cell r="Q14">
            <v>0</v>
          </cell>
        </row>
        <row r="15">
          <cell r="Q15">
            <v>3109.1492250000001</v>
          </cell>
        </row>
        <row r="18">
          <cell r="M18">
            <v>1588.5</v>
          </cell>
        </row>
        <row r="22">
          <cell r="M22">
            <v>393.86999999999995</v>
          </cell>
        </row>
        <row r="27">
          <cell r="M27">
            <v>10569.472358266201</v>
          </cell>
        </row>
        <row r="28">
          <cell r="M28">
            <v>748.20491911416855</v>
          </cell>
        </row>
        <row r="29">
          <cell r="M29">
            <v>882.97677849776244</v>
          </cell>
        </row>
        <row r="52">
          <cell r="Q52">
            <v>3750.649793637212</v>
          </cell>
        </row>
        <row r="117">
          <cell r="Q117">
            <v>15649.831393029814</v>
          </cell>
        </row>
      </sheetData>
      <sheetData sheetId="14">
        <row r="13">
          <cell r="M13">
            <v>132841.48712068523</v>
          </cell>
        </row>
        <row r="15">
          <cell r="Q15">
            <v>131.64605999999998</v>
          </cell>
        </row>
        <row r="18">
          <cell r="M18">
            <v>4207</v>
          </cell>
        </row>
        <row r="22">
          <cell r="M22">
            <v>71566.666565421983</v>
          </cell>
        </row>
        <row r="26">
          <cell r="M26">
            <v>51694.846080263247</v>
          </cell>
        </row>
        <row r="28">
          <cell r="M28">
            <v>3075.4217000000003</v>
          </cell>
        </row>
        <row r="29">
          <cell r="M29">
            <v>2165.9067150000005</v>
          </cell>
        </row>
        <row r="52">
          <cell r="Q52">
            <v>3853.4888895297172</v>
          </cell>
        </row>
        <row r="117">
          <cell r="Q117">
            <v>75385.645951680272</v>
          </cell>
        </row>
      </sheetData>
      <sheetData sheetId="15">
        <row r="13">
          <cell r="M13">
            <v>20972.106765308217</v>
          </cell>
        </row>
        <row r="15">
          <cell r="Q15">
            <v>0</v>
          </cell>
        </row>
        <row r="18">
          <cell r="M18">
            <v>787.49889551088859</v>
          </cell>
        </row>
        <row r="22">
          <cell r="M22">
            <v>10242.745267799999</v>
          </cell>
        </row>
        <row r="27">
          <cell r="M27">
            <v>9033.036076661454</v>
          </cell>
        </row>
        <row r="28">
          <cell r="M28">
            <v>648.8148021312121</v>
          </cell>
        </row>
        <row r="29">
          <cell r="M29">
            <v>260.01172320466384</v>
          </cell>
        </row>
        <row r="117">
          <cell r="X117">
            <v>26178.549983298843</v>
          </cell>
        </row>
      </sheetData>
      <sheetData sheetId="16">
        <row r="13">
          <cell r="M13">
            <v>20902.825940852665</v>
          </cell>
        </row>
        <row r="15">
          <cell r="Q15">
            <v>0</v>
          </cell>
        </row>
        <row r="18">
          <cell r="M18">
            <v>1293</v>
          </cell>
        </row>
        <row r="22">
          <cell r="M22">
            <v>3341.73</v>
          </cell>
        </row>
        <row r="27">
          <cell r="M27">
            <v>14681.451624582251</v>
          </cell>
        </row>
        <row r="28">
          <cell r="M28">
            <v>966.43308906666675</v>
          </cell>
        </row>
        <row r="29">
          <cell r="M29">
            <v>620.21122720374524</v>
          </cell>
        </row>
        <row r="52">
          <cell r="Q52">
            <v>3164.9473724827735</v>
          </cell>
        </row>
        <row r="117">
          <cell r="Q117">
            <v>47830.085180224145</v>
          </cell>
        </row>
      </sheetData>
      <sheetData sheetId="17">
        <row r="13">
          <cell r="M13">
            <v>14656.054061593946</v>
          </cell>
        </row>
        <row r="15">
          <cell r="Q15">
            <v>285</v>
          </cell>
        </row>
        <row r="18">
          <cell r="M18">
            <v>355.7</v>
          </cell>
        </row>
        <row r="22">
          <cell r="M22">
            <v>2785.8085195499998</v>
          </cell>
        </row>
        <row r="27">
          <cell r="M27">
            <v>10414.320391333473</v>
          </cell>
        </row>
        <row r="28">
          <cell r="M28">
            <v>384.78115071047569</v>
          </cell>
        </row>
        <row r="29">
          <cell r="M29">
            <v>430.44400000000007</v>
          </cell>
        </row>
        <row r="117">
          <cell r="Q117">
            <v>37072.964640645332</v>
          </cell>
        </row>
      </sheetData>
      <sheetData sheetId="18">
        <row r="13">
          <cell r="M13">
            <v>174020.75879555775</v>
          </cell>
        </row>
        <row r="15">
          <cell r="Q15">
            <v>2533.1122491161045</v>
          </cell>
        </row>
        <row r="18">
          <cell r="M18">
            <v>8862</v>
          </cell>
        </row>
        <row r="22">
          <cell r="M22">
            <v>80156.055880200016</v>
          </cell>
        </row>
        <row r="26">
          <cell r="M26">
            <v>71091.361479158382</v>
          </cell>
        </row>
        <row r="28">
          <cell r="M28">
            <v>8066.5197579283349</v>
          </cell>
        </row>
        <row r="29">
          <cell r="M29">
            <v>3311.7094291549215</v>
          </cell>
        </row>
        <row r="52">
          <cell r="Q52">
            <v>4869.7028847831616</v>
          </cell>
        </row>
        <row r="117">
          <cell r="Q117">
            <v>85206.24413037434</v>
          </cell>
        </row>
      </sheetData>
      <sheetData sheetId="19">
        <row r="13">
          <cell r="M13">
            <v>44258.426865559581</v>
          </cell>
        </row>
        <row r="15">
          <cell r="Q15">
            <v>0</v>
          </cell>
        </row>
        <row r="18">
          <cell r="M18">
            <v>11106</v>
          </cell>
        </row>
        <row r="22">
          <cell r="M22">
            <v>6526.38</v>
          </cell>
        </row>
        <row r="27">
          <cell r="M27">
            <v>25784.676877355916</v>
          </cell>
        </row>
        <row r="28">
          <cell r="M28">
            <v>682.00879999999995</v>
          </cell>
        </row>
        <row r="29">
          <cell r="M29">
            <v>159.36118820366269</v>
          </cell>
        </row>
        <row r="117">
          <cell r="Q117">
            <v>18400.753501224703</v>
          </cell>
        </row>
      </sheetData>
      <sheetData sheetId="20">
        <row r="13">
          <cell r="M13">
            <v>17434.231551801407</v>
          </cell>
        </row>
        <row r="15">
          <cell r="Q15">
            <v>0</v>
          </cell>
        </row>
        <row r="18">
          <cell r="M18">
            <v>4236.2</v>
          </cell>
        </row>
        <row r="22">
          <cell r="M22">
            <v>8017.3548996499985</v>
          </cell>
        </row>
        <row r="27">
          <cell r="M27">
            <v>5121.6140886507746</v>
          </cell>
        </row>
        <row r="28">
          <cell r="M28">
            <v>4.3538588666666662</v>
          </cell>
        </row>
        <row r="29">
          <cell r="M29">
            <v>54.70870463396782</v>
          </cell>
        </row>
        <row r="117">
          <cell r="Q117">
            <v>14590.934812305828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 парам"/>
      <sheetName val="индексы"/>
      <sheetName val="Свод села"/>
      <sheetName val="Свод "/>
      <sheetName val="У_Копи"/>
      <sheetName val="Канч"/>
      <sheetName val="Марк"/>
      <sheetName val="У_Бел"/>
      <sheetName val="Снежн"/>
      <sheetName val="Ваеги"/>
      <sheetName val="Беринг"/>
      <sheetName val="Алькат"/>
      <sheetName val="Мейнып"/>
      <sheetName val="Хатыр"/>
      <sheetName val="Провид"/>
      <sheetName val="Н_Чапл"/>
      <sheetName val="Сирен"/>
      <sheetName val="формула"/>
      <sheetName val="Субс"/>
      <sheetName val="недополу доход"/>
      <sheetName val="У_Копи избыток_неучтено"/>
      <sheetName val="Лист1"/>
    </sheetNames>
    <sheetDataSet>
      <sheetData sheetId="0"/>
      <sheetData sheetId="1"/>
      <sheetData sheetId="2"/>
      <sheetData sheetId="3"/>
      <sheetData sheetId="4">
        <row r="13">
          <cell r="Q13">
            <v>79238.155999999974</v>
          </cell>
        </row>
        <row r="52">
          <cell r="X52">
            <v>4125.1746546058366</v>
          </cell>
        </row>
        <row r="112">
          <cell r="X112">
            <v>182111.80395736173</v>
          </cell>
        </row>
        <row r="117">
          <cell r="X117">
            <v>824.58655971238318</v>
          </cell>
        </row>
      </sheetData>
      <sheetData sheetId="5">
        <row r="13">
          <cell r="Q13">
            <v>31542.578000000001</v>
          </cell>
        </row>
        <row r="52">
          <cell r="X52">
            <v>7361.3294373823692</v>
          </cell>
        </row>
        <row r="112">
          <cell r="X112">
            <v>19198.255739790537</v>
          </cell>
        </row>
        <row r="117">
          <cell r="X117">
            <v>7.8602921631493317</v>
          </cell>
        </row>
      </sheetData>
      <sheetData sheetId="6">
        <row r="13">
          <cell r="Q13">
            <v>42955.487999999998</v>
          </cell>
        </row>
        <row r="52">
          <cell r="X52">
            <v>4263.7912789736893</v>
          </cell>
        </row>
        <row r="112">
          <cell r="X112">
            <v>21020.024479689149</v>
          </cell>
        </row>
        <row r="117">
          <cell r="X117">
            <v>60.820988972227767</v>
          </cell>
        </row>
      </sheetData>
      <sheetData sheetId="7">
        <row r="13">
          <cell r="Q13">
            <v>33930.947999999997</v>
          </cell>
        </row>
        <row r="112">
          <cell r="X112">
            <v>22450.516597861817</v>
          </cell>
        </row>
        <row r="117">
          <cell r="X117">
            <v>5.5100002560736021</v>
          </cell>
        </row>
      </sheetData>
      <sheetData sheetId="8">
        <row r="13">
          <cell r="Q13">
            <v>5308.0069999999996</v>
          </cell>
        </row>
        <row r="112">
          <cell r="X112">
            <v>9920.6951047292187</v>
          </cell>
        </row>
        <row r="117">
          <cell r="X117">
            <v>1.6772021584633579</v>
          </cell>
        </row>
      </sheetData>
      <sheetData sheetId="9">
        <row r="13">
          <cell r="Q13">
            <v>16494.803</v>
          </cell>
        </row>
        <row r="52">
          <cell r="X52">
            <v>3461.3534767783967</v>
          </cell>
        </row>
        <row r="112">
          <cell r="X112">
            <v>18086.585770269976</v>
          </cell>
        </row>
        <row r="117">
          <cell r="X117">
            <v>3.246612265515743</v>
          </cell>
        </row>
      </sheetData>
      <sheetData sheetId="10">
        <row r="13">
          <cell r="Q13">
            <v>127268.45</v>
          </cell>
        </row>
        <row r="52">
          <cell r="X52">
            <v>3556.2603547066265</v>
          </cell>
        </row>
        <row r="112">
          <cell r="X112">
            <v>69818.897051536158</v>
          </cell>
        </row>
        <row r="117">
          <cell r="X117">
            <v>15.31387445527881</v>
          </cell>
        </row>
      </sheetData>
      <sheetData sheetId="11">
        <row r="13">
          <cell r="Q13">
            <v>23658.812000000002</v>
          </cell>
        </row>
        <row r="112">
          <cell r="X112">
            <v>12953.857016755061</v>
          </cell>
        </row>
        <row r="117">
          <cell r="X117">
            <v>3.1861074943765013</v>
          </cell>
        </row>
      </sheetData>
      <sheetData sheetId="12">
        <row r="13">
          <cell r="Q13">
            <v>21653.572</v>
          </cell>
        </row>
        <row r="52">
          <cell r="X52">
            <v>2920.8276416925155</v>
          </cell>
        </row>
        <row r="112">
          <cell r="X112">
            <v>22750.087661320682</v>
          </cell>
        </row>
        <row r="117">
          <cell r="X117">
            <v>4.4275061376377085</v>
          </cell>
        </row>
      </sheetData>
      <sheetData sheetId="13">
        <row r="13">
          <cell r="Q13">
            <v>14141.181</v>
          </cell>
        </row>
        <row r="112">
          <cell r="X112">
            <v>31058.296656349325</v>
          </cell>
        </row>
        <row r="117">
          <cell r="X117">
            <v>68.52534292298148</v>
          </cell>
        </row>
      </sheetData>
      <sheetData sheetId="14">
        <row r="13">
          <cell r="Q13">
            <v>168366.23300000001</v>
          </cell>
        </row>
        <row r="52">
          <cell r="X52">
            <v>4494.0914077653779</v>
          </cell>
        </row>
        <row r="112">
          <cell r="X112">
            <v>64806.357854351576</v>
          </cell>
        </row>
        <row r="117">
          <cell r="X117">
            <v>310.18893527892249</v>
          </cell>
        </row>
      </sheetData>
      <sheetData sheetId="15">
        <row r="13">
          <cell r="Q13">
            <v>44186.133999999998</v>
          </cell>
        </row>
        <row r="112">
          <cell r="X112">
            <v>20955.558955229099</v>
          </cell>
        </row>
        <row r="117">
          <cell r="X117">
            <v>6.4019407813157745</v>
          </cell>
        </row>
      </sheetData>
      <sheetData sheetId="16">
        <row r="13">
          <cell r="Q13">
            <v>19811.385999999999</v>
          </cell>
        </row>
        <row r="112">
          <cell r="X112">
            <v>13766.131137992241</v>
          </cell>
        </row>
        <row r="117">
          <cell r="X117">
            <v>1.6862596837562047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7"/>
  <sheetViews>
    <sheetView workbookViewId="0">
      <selection activeCell="A20" sqref="A19:A20"/>
    </sheetView>
  </sheetViews>
  <sheetFormatPr defaultColWidth="9.140625" defaultRowHeight="15.75" x14ac:dyDescent="0.25"/>
  <cols>
    <col min="1" max="1" width="51.28515625" style="35" customWidth="1"/>
    <col min="2" max="2" width="61.85546875" style="35" customWidth="1"/>
    <col min="3" max="3" width="7" style="35" customWidth="1"/>
    <col min="4" max="4" width="6.7109375" style="35" customWidth="1"/>
    <col min="5" max="16384" width="9.140625" style="35"/>
  </cols>
  <sheetData>
    <row r="1" spans="1:2" s="32" customFormat="1" ht="18.75" x14ac:dyDescent="0.3">
      <c r="A1" s="415" t="s">
        <v>138</v>
      </c>
      <c r="B1" s="415"/>
    </row>
    <row r="2" spans="1:2" s="32" customFormat="1" ht="18.75" customHeight="1" x14ac:dyDescent="0.3">
      <c r="A2" s="416" t="s">
        <v>139</v>
      </c>
      <c r="B2" s="416"/>
    </row>
    <row r="3" spans="1:2" s="32" customFormat="1" ht="19.5" customHeight="1" x14ac:dyDescent="0.3">
      <c r="A3" s="417"/>
      <c r="B3" s="418"/>
    </row>
    <row r="4" spans="1:2" s="32" customFormat="1" ht="18.75" customHeight="1" x14ac:dyDescent="0.3">
      <c r="A4" s="419" t="s">
        <v>73</v>
      </c>
      <c r="B4" s="419"/>
    </row>
    <row r="5" spans="1:2" ht="27" customHeight="1" x14ac:dyDescent="0.25">
      <c r="A5" s="33" t="s">
        <v>74</v>
      </c>
      <c r="B5" s="34" t="s">
        <v>81</v>
      </c>
    </row>
    <row r="6" spans="1:2" ht="36" customHeight="1" x14ac:dyDescent="0.25">
      <c r="A6" s="33" t="s">
        <v>75</v>
      </c>
      <c r="B6" s="31" t="s">
        <v>80</v>
      </c>
    </row>
    <row r="7" spans="1:2" ht="38.25" customHeight="1" x14ac:dyDescent="0.25">
      <c r="A7" s="33" t="s">
        <v>76</v>
      </c>
      <c r="B7" s="31" t="s">
        <v>77</v>
      </c>
    </row>
    <row r="8" spans="1:2" ht="27.75" customHeight="1" x14ac:dyDescent="0.25">
      <c r="A8" s="33" t="s">
        <v>78</v>
      </c>
      <c r="B8" s="34" t="s">
        <v>79</v>
      </c>
    </row>
    <row r="9" spans="1:2" s="38" customFormat="1" ht="21.75" customHeight="1" x14ac:dyDescent="0.25">
      <c r="A9" s="36"/>
      <c r="B9" s="37"/>
    </row>
    <row r="10" spans="1:2" ht="16.5" customHeight="1" x14ac:dyDescent="0.25"/>
    <row r="20" spans="1:3" x14ac:dyDescent="0.25">
      <c r="C20" s="39"/>
    </row>
    <row r="22" spans="1:3" x14ac:dyDescent="0.25">
      <c r="C22" s="40"/>
    </row>
    <row r="25" spans="1:3" s="38" customFormat="1" x14ac:dyDescent="0.25">
      <c r="A25" s="35"/>
      <c r="B25" s="35"/>
      <c r="C25" s="35"/>
    </row>
    <row r="26" spans="1:3" ht="15" customHeight="1" x14ac:dyDescent="0.25"/>
    <row r="27" spans="1:3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R24"/>
  <sheetViews>
    <sheetView view="pageBreakPreview" zoomScale="60" zoomScaleNormal="100" workbookViewId="0">
      <pane xSplit="3" ySplit="5" topLeftCell="D15" activePane="bottomRight" state="frozen"/>
      <selection activeCell="A17" sqref="A17"/>
      <selection pane="topRight" activeCell="A17" sqref="A17"/>
      <selection pane="bottomLeft" activeCell="A17" sqref="A17"/>
      <selection pane="bottomRight" activeCell="B14" sqref="B14:P14"/>
    </sheetView>
  </sheetViews>
  <sheetFormatPr defaultColWidth="9.140625" defaultRowHeight="12.75" x14ac:dyDescent="0.2"/>
  <cols>
    <col min="1" max="1" width="5.140625" style="8" customWidth="1"/>
    <col min="2" max="2" width="55.42578125" style="8" customWidth="1"/>
    <col min="3" max="3" width="10.140625" style="8" customWidth="1"/>
    <col min="4" max="16" width="10.28515625" style="8" customWidth="1"/>
    <col min="17" max="17" width="7.28515625" style="8" customWidth="1"/>
    <col min="18" max="16384" width="9.140625" style="8"/>
  </cols>
  <sheetData>
    <row r="1" spans="1:16" s="1" customFormat="1" ht="21" customHeight="1" x14ac:dyDescent="0.25">
      <c r="A1" s="419" t="s">
        <v>207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</row>
    <row r="2" spans="1:16" ht="16.5" customHeight="1" x14ac:dyDescent="0.2">
      <c r="A2" s="497" t="s">
        <v>29</v>
      </c>
      <c r="B2" s="497" t="s">
        <v>2</v>
      </c>
      <c r="C2" s="497" t="s">
        <v>30</v>
      </c>
      <c r="D2" s="502" t="s">
        <v>70</v>
      </c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4"/>
    </row>
    <row r="3" spans="1:16" ht="21" customHeight="1" x14ac:dyDescent="0.2">
      <c r="A3" s="498"/>
      <c r="B3" s="498"/>
      <c r="C3" s="498"/>
      <c r="D3" s="505" t="s">
        <v>11</v>
      </c>
      <c r="E3" s="505" t="s">
        <v>12</v>
      </c>
      <c r="F3" s="505" t="s">
        <v>13</v>
      </c>
      <c r="G3" s="505" t="s">
        <v>14</v>
      </c>
      <c r="H3" s="505" t="s">
        <v>15</v>
      </c>
      <c r="I3" s="505" t="s">
        <v>16</v>
      </c>
      <c r="J3" s="505" t="s">
        <v>17</v>
      </c>
      <c r="K3" s="505" t="s">
        <v>18</v>
      </c>
      <c r="L3" s="505" t="s">
        <v>19</v>
      </c>
      <c r="M3" s="505" t="s">
        <v>20</v>
      </c>
      <c r="N3" s="505" t="s">
        <v>21</v>
      </c>
      <c r="O3" s="505" t="s">
        <v>22</v>
      </c>
      <c r="P3" s="500" t="s">
        <v>23</v>
      </c>
    </row>
    <row r="4" spans="1:16" ht="28.5" customHeight="1" x14ac:dyDescent="0.2">
      <c r="A4" s="498"/>
      <c r="B4" s="498"/>
      <c r="C4" s="498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1"/>
    </row>
    <row r="5" spans="1:16" ht="15.75" customHeight="1" x14ac:dyDescent="0.2">
      <c r="A5" s="499"/>
      <c r="B5" s="499"/>
      <c r="C5" s="499"/>
      <c r="D5" s="510" t="s">
        <v>150</v>
      </c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2"/>
    </row>
    <row r="6" spans="1:16" x14ac:dyDescent="0.2">
      <c r="A6" s="131">
        <v>1</v>
      </c>
      <c r="B6" s="9">
        <f>A6+1</f>
        <v>2</v>
      </c>
      <c r="C6" s="9">
        <f t="shared" ref="C6:P6" si="0">B6+1</f>
        <v>3</v>
      </c>
      <c r="D6" s="9">
        <f t="shared" si="0"/>
        <v>4</v>
      </c>
      <c r="E6" s="9">
        <f t="shared" si="0"/>
        <v>5</v>
      </c>
      <c r="F6" s="9">
        <f t="shared" si="0"/>
        <v>6</v>
      </c>
      <c r="G6" s="9">
        <f t="shared" si="0"/>
        <v>7</v>
      </c>
      <c r="H6" s="9">
        <f t="shared" si="0"/>
        <v>8</v>
      </c>
      <c r="I6" s="9">
        <f t="shared" si="0"/>
        <v>9</v>
      </c>
      <c r="J6" s="9">
        <f t="shared" si="0"/>
        <v>10</v>
      </c>
      <c r="K6" s="9">
        <f t="shared" si="0"/>
        <v>11</v>
      </c>
      <c r="L6" s="9">
        <f t="shared" si="0"/>
        <v>12</v>
      </c>
      <c r="M6" s="9">
        <f t="shared" si="0"/>
        <v>13</v>
      </c>
      <c r="N6" s="9">
        <f t="shared" si="0"/>
        <v>14</v>
      </c>
      <c r="O6" s="9">
        <f t="shared" si="0"/>
        <v>15</v>
      </c>
      <c r="P6" s="9">
        <f t="shared" si="0"/>
        <v>16</v>
      </c>
    </row>
    <row r="7" spans="1:16" ht="15.75" x14ac:dyDescent="0.2">
      <c r="A7" s="10" t="s">
        <v>67</v>
      </c>
      <c r="B7" s="507" t="s">
        <v>32</v>
      </c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9"/>
    </row>
    <row r="8" spans="1:16" ht="112.5" customHeight="1" x14ac:dyDescent="0.2">
      <c r="A8" s="14">
        <v>1</v>
      </c>
      <c r="B8" s="152" t="s">
        <v>49</v>
      </c>
      <c r="C8" s="22" t="s">
        <v>4</v>
      </c>
      <c r="D8" s="158">
        <f>D9/D10*100</f>
        <v>0</v>
      </c>
      <c r="E8" s="144">
        <f t="shared" ref="E8:P8" si="1">E9/E10*100</f>
        <v>0</v>
      </c>
      <c r="F8" s="162">
        <f t="shared" si="1"/>
        <v>0</v>
      </c>
      <c r="G8" s="144">
        <f t="shared" si="1"/>
        <v>0</v>
      </c>
      <c r="H8" s="162">
        <f t="shared" si="1"/>
        <v>0</v>
      </c>
      <c r="I8" s="144">
        <f t="shared" si="1"/>
        <v>0</v>
      </c>
      <c r="J8" s="162">
        <f t="shared" si="1"/>
        <v>0</v>
      </c>
      <c r="K8" s="144">
        <f t="shared" si="1"/>
        <v>0</v>
      </c>
      <c r="L8" s="162">
        <f t="shared" si="1"/>
        <v>0</v>
      </c>
      <c r="M8" s="144">
        <f t="shared" si="1"/>
        <v>0</v>
      </c>
      <c r="N8" s="162">
        <f t="shared" si="1"/>
        <v>0</v>
      </c>
      <c r="O8" s="144">
        <f t="shared" si="1"/>
        <v>0</v>
      </c>
      <c r="P8" s="163">
        <f t="shared" si="1"/>
        <v>0</v>
      </c>
    </row>
    <row r="9" spans="1:16" ht="51" customHeight="1" x14ac:dyDescent="0.2">
      <c r="A9" s="18" t="s">
        <v>33</v>
      </c>
      <c r="B9" s="16" t="s">
        <v>50</v>
      </c>
      <c r="C9" s="15" t="s">
        <v>51</v>
      </c>
      <c r="D9" s="159">
        <v>0</v>
      </c>
      <c r="E9" s="145">
        <v>0</v>
      </c>
      <c r="F9" s="41">
        <v>0</v>
      </c>
      <c r="G9" s="145">
        <v>0</v>
      </c>
      <c r="H9" s="41">
        <v>0</v>
      </c>
      <c r="I9" s="145">
        <v>0</v>
      </c>
      <c r="J9" s="41">
        <v>0</v>
      </c>
      <c r="K9" s="145">
        <v>0</v>
      </c>
      <c r="L9" s="41">
        <v>0</v>
      </c>
      <c r="M9" s="145">
        <v>0</v>
      </c>
      <c r="N9" s="41">
        <v>0</v>
      </c>
      <c r="O9" s="145">
        <v>0</v>
      </c>
      <c r="P9" s="45">
        <v>0</v>
      </c>
    </row>
    <row r="10" spans="1:16" ht="20.25" customHeight="1" x14ac:dyDescent="0.2">
      <c r="A10" s="18" t="s">
        <v>34</v>
      </c>
      <c r="B10" s="19" t="s">
        <v>52</v>
      </c>
      <c r="C10" s="15" t="s">
        <v>51</v>
      </c>
      <c r="D10" s="160">
        <v>24</v>
      </c>
      <c r="E10" s="145">
        <v>16</v>
      </c>
      <c r="F10" s="41">
        <v>32</v>
      </c>
      <c r="G10" s="145">
        <v>40</v>
      </c>
      <c r="H10" s="41">
        <v>16</v>
      </c>
      <c r="I10" s="145">
        <v>32</v>
      </c>
      <c r="J10" s="41">
        <v>20</v>
      </c>
      <c r="K10" s="145">
        <v>16</v>
      </c>
      <c r="L10" s="41">
        <v>16</v>
      </c>
      <c r="M10" s="145">
        <v>16</v>
      </c>
      <c r="N10" s="41">
        <v>32</v>
      </c>
      <c r="O10" s="145">
        <v>40</v>
      </c>
      <c r="P10" s="45">
        <v>16</v>
      </c>
    </row>
    <row r="11" spans="1:16" ht="81" customHeight="1" x14ac:dyDescent="0.2">
      <c r="A11" s="18" t="s">
        <v>53</v>
      </c>
      <c r="B11" s="19" t="s">
        <v>40</v>
      </c>
      <c r="C11" s="15" t="s">
        <v>4</v>
      </c>
      <c r="D11" s="159">
        <f>D12/D13*100</f>
        <v>0</v>
      </c>
      <c r="E11" s="145">
        <f t="shared" ref="E11:O11" si="2">E12/E13*100</f>
        <v>0</v>
      </c>
      <c r="F11" s="41">
        <f t="shared" si="2"/>
        <v>0</v>
      </c>
      <c r="G11" s="145">
        <f t="shared" si="2"/>
        <v>0</v>
      </c>
      <c r="H11" s="41">
        <f t="shared" si="2"/>
        <v>0</v>
      </c>
      <c r="I11" s="145">
        <f t="shared" si="2"/>
        <v>0</v>
      </c>
      <c r="J11" s="41">
        <f t="shared" si="2"/>
        <v>0</v>
      </c>
      <c r="K11" s="145">
        <f t="shared" si="2"/>
        <v>0</v>
      </c>
      <c r="L11" s="41">
        <f t="shared" si="2"/>
        <v>0</v>
      </c>
      <c r="M11" s="145">
        <f t="shared" si="2"/>
        <v>0</v>
      </c>
      <c r="N11" s="41">
        <f t="shared" si="2"/>
        <v>0</v>
      </c>
      <c r="O11" s="145">
        <f t="shared" si="2"/>
        <v>0</v>
      </c>
      <c r="P11" s="145">
        <f t="shared" ref="P11" si="3">P12/P13*100</f>
        <v>0</v>
      </c>
    </row>
    <row r="12" spans="1:16" ht="65.25" customHeight="1" x14ac:dyDescent="0.2">
      <c r="A12" s="18" t="s">
        <v>36</v>
      </c>
      <c r="B12" s="20" t="s">
        <v>54</v>
      </c>
      <c r="C12" s="15" t="s">
        <v>51</v>
      </c>
      <c r="D12" s="159">
        <v>0</v>
      </c>
      <c r="E12" s="145">
        <v>0</v>
      </c>
      <c r="F12" s="41">
        <v>0</v>
      </c>
      <c r="G12" s="145">
        <v>0</v>
      </c>
      <c r="H12" s="41">
        <v>0</v>
      </c>
      <c r="I12" s="145">
        <v>0</v>
      </c>
      <c r="J12" s="41">
        <v>0</v>
      </c>
      <c r="K12" s="145">
        <v>0</v>
      </c>
      <c r="L12" s="41">
        <v>0</v>
      </c>
      <c r="M12" s="145">
        <v>0</v>
      </c>
      <c r="N12" s="41">
        <v>0</v>
      </c>
      <c r="O12" s="145">
        <v>0</v>
      </c>
      <c r="P12" s="145">
        <v>0</v>
      </c>
    </row>
    <row r="13" spans="1:16" ht="18" customHeight="1" x14ac:dyDescent="0.2">
      <c r="A13" s="17" t="s">
        <v>55</v>
      </c>
      <c r="B13" s="12" t="s">
        <v>52</v>
      </c>
      <c r="C13" s="13" t="s">
        <v>51</v>
      </c>
      <c r="D13" s="161">
        <v>24</v>
      </c>
      <c r="E13" s="146">
        <v>42</v>
      </c>
      <c r="F13" s="42">
        <v>24</v>
      </c>
      <c r="G13" s="146">
        <v>16</v>
      </c>
      <c r="H13" s="42">
        <v>16</v>
      </c>
      <c r="I13" s="146">
        <v>24</v>
      </c>
      <c r="J13" s="42">
        <v>20</v>
      </c>
      <c r="K13" s="146">
        <v>12</v>
      </c>
      <c r="L13" s="42">
        <v>12</v>
      </c>
      <c r="M13" s="146">
        <v>48</v>
      </c>
      <c r="N13" s="42">
        <v>60</v>
      </c>
      <c r="O13" s="146">
        <v>120</v>
      </c>
      <c r="P13" s="46">
        <v>24</v>
      </c>
    </row>
    <row r="14" spans="1:16" ht="17.25" customHeight="1" x14ac:dyDescent="0.2">
      <c r="A14" s="11" t="s">
        <v>68</v>
      </c>
      <c r="B14" s="513" t="s">
        <v>35</v>
      </c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5"/>
    </row>
    <row r="15" spans="1:16" ht="31.5" customHeight="1" x14ac:dyDescent="0.2">
      <c r="A15" s="14">
        <v>1</v>
      </c>
      <c r="B15" s="153" t="s">
        <v>56</v>
      </c>
      <c r="C15" s="22" t="s">
        <v>37</v>
      </c>
      <c r="D15" s="158">
        <f>D16/D17</f>
        <v>0</v>
      </c>
      <c r="E15" s="144">
        <f>E16/E17</f>
        <v>0</v>
      </c>
      <c r="F15" s="162">
        <f t="shared" ref="F15:P15" si="4">F16/F17</f>
        <v>0</v>
      </c>
      <c r="G15" s="144">
        <f t="shared" si="4"/>
        <v>0</v>
      </c>
      <c r="H15" s="162">
        <f t="shared" si="4"/>
        <v>0</v>
      </c>
      <c r="I15" s="144">
        <f t="shared" si="4"/>
        <v>0</v>
      </c>
      <c r="J15" s="162">
        <f t="shared" si="4"/>
        <v>0</v>
      </c>
      <c r="K15" s="144">
        <f t="shared" si="4"/>
        <v>0</v>
      </c>
      <c r="L15" s="162">
        <f t="shared" si="4"/>
        <v>0</v>
      </c>
      <c r="M15" s="144">
        <f t="shared" si="4"/>
        <v>0</v>
      </c>
      <c r="N15" s="162">
        <f t="shared" si="4"/>
        <v>0</v>
      </c>
      <c r="O15" s="144">
        <f t="shared" si="4"/>
        <v>0</v>
      </c>
      <c r="P15" s="163">
        <f t="shared" si="4"/>
        <v>0</v>
      </c>
    </row>
    <row r="16" spans="1:16" ht="219.75" customHeight="1" x14ac:dyDescent="0.2">
      <c r="A16" s="18" t="s">
        <v>33</v>
      </c>
      <c r="B16" s="19" t="s">
        <v>57</v>
      </c>
      <c r="C16" s="15" t="s">
        <v>51</v>
      </c>
      <c r="D16" s="159">
        <v>0</v>
      </c>
      <c r="E16" s="145">
        <v>0</v>
      </c>
      <c r="F16" s="41">
        <v>0</v>
      </c>
      <c r="G16" s="145">
        <v>0</v>
      </c>
      <c r="H16" s="41">
        <v>0</v>
      </c>
      <c r="I16" s="145">
        <v>0</v>
      </c>
      <c r="J16" s="41">
        <v>0</v>
      </c>
      <c r="K16" s="145">
        <v>0</v>
      </c>
      <c r="L16" s="41">
        <v>0</v>
      </c>
      <c r="M16" s="145">
        <v>0</v>
      </c>
      <c r="N16" s="41">
        <v>0</v>
      </c>
      <c r="O16" s="145">
        <v>0</v>
      </c>
      <c r="P16" s="45">
        <v>0</v>
      </c>
    </row>
    <row r="17" spans="1:18" ht="20.25" customHeight="1" x14ac:dyDescent="0.2">
      <c r="A17" s="17" t="s">
        <v>34</v>
      </c>
      <c r="B17" s="154" t="s">
        <v>58</v>
      </c>
      <c r="C17" s="24" t="s">
        <v>59</v>
      </c>
      <c r="D17" s="164">
        <v>5.4377000000000004</v>
      </c>
      <c r="E17" s="165">
        <f>(46.887-12.872)*0+34.264</f>
        <v>34.264000000000003</v>
      </c>
      <c r="F17" s="166">
        <v>1.7110000000000001</v>
      </c>
      <c r="G17" s="147">
        <v>5.45</v>
      </c>
      <c r="H17" s="166">
        <v>8.5090000000000003</v>
      </c>
      <c r="I17" s="147">
        <v>2.8695000000000004</v>
      </c>
      <c r="J17" s="166">
        <v>3.0844999999999998</v>
      </c>
      <c r="K17" s="147">
        <v>2.8849999999999998</v>
      </c>
      <c r="L17" s="166">
        <v>8.2804000000000002</v>
      </c>
      <c r="M17" s="147">
        <v>3.5790000000000002</v>
      </c>
      <c r="N17" s="166">
        <v>4.2149999999999999</v>
      </c>
      <c r="O17" s="147">
        <v>16.206199999999999</v>
      </c>
      <c r="P17" s="155">
        <v>5.2149999999999999</v>
      </c>
      <c r="R17" s="127"/>
    </row>
    <row r="18" spans="1:18" ht="15.75" customHeight="1" x14ac:dyDescent="0.2">
      <c r="A18" s="11" t="s">
        <v>69</v>
      </c>
      <c r="B18" s="513" t="s">
        <v>38</v>
      </c>
      <c r="C18" s="514"/>
      <c r="D18" s="514"/>
      <c r="E18" s="514"/>
      <c r="F18" s="514"/>
      <c r="G18" s="514"/>
      <c r="H18" s="514"/>
      <c r="I18" s="514"/>
      <c r="J18" s="514"/>
      <c r="K18" s="514"/>
      <c r="L18" s="514"/>
      <c r="M18" s="514"/>
      <c r="N18" s="514"/>
      <c r="O18" s="514"/>
      <c r="P18" s="515"/>
    </row>
    <row r="19" spans="1:18" ht="51.75" customHeight="1" x14ac:dyDescent="0.2">
      <c r="A19" s="25">
        <v>1</v>
      </c>
      <c r="B19" s="156" t="s">
        <v>60</v>
      </c>
      <c r="C19" s="22" t="s">
        <v>4</v>
      </c>
      <c r="D19" s="44">
        <f>D21/D20*100</f>
        <v>7.6509986319012739</v>
      </c>
      <c r="E19" s="148">
        <f>E21/E20*100</f>
        <v>3.3470000332028174</v>
      </c>
      <c r="F19" s="169">
        <f t="shared" ref="F19:P19" si="5">F21/F20*100</f>
        <v>3.7549969170249122</v>
      </c>
      <c r="G19" s="148">
        <f t="shared" si="5"/>
        <v>3.1699998396067928</v>
      </c>
      <c r="H19" s="169">
        <f t="shared" si="5"/>
        <v>6.1860011341060108</v>
      </c>
      <c r="I19" s="148">
        <f t="shared" si="5"/>
        <v>2.474998891537469</v>
      </c>
      <c r="J19" s="169">
        <f t="shared" si="5"/>
        <v>11.200000000000001</v>
      </c>
      <c r="K19" s="148">
        <f t="shared" si="5"/>
        <v>17.607999999999997</v>
      </c>
      <c r="L19" s="169">
        <f t="shared" si="5"/>
        <v>9.7320000000000011</v>
      </c>
      <c r="M19" s="148">
        <f t="shared" si="5"/>
        <v>9.226000092904739</v>
      </c>
      <c r="N19" s="169">
        <f t="shared" si="5"/>
        <v>25.093999540384253</v>
      </c>
      <c r="O19" s="148">
        <f t="shared" si="5"/>
        <v>5.1679999388334847</v>
      </c>
      <c r="P19" s="172">
        <f t="shared" si="5"/>
        <v>24.298407157813472</v>
      </c>
    </row>
    <row r="20" spans="1:18" ht="18" customHeight="1" x14ac:dyDescent="0.2">
      <c r="A20" s="26" t="s">
        <v>33</v>
      </c>
      <c r="B20" s="21" t="s">
        <v>61</v>
      </c>
      <c r="C20" s="22" t="s">
        <v>71</v>
      </c>
      <c r="D20" s="167">
        <v>30.934170999999999</v>
      </c>
      <c r="E20" s="149">
        <v>260.21888000000001</v>
      </c>
      <c r="F20" s="170">
        <v>18.579455999999997</v>
      </c>
      <c r="G20" s="149">
        <v>130.30476999999999</v>
      </c>
      <c r="H20" s="170">
        <v>22.973161000000001</v>
      </c>
      <c r="I20" s="149">
        <v>15.156128000000001</v>
      </c>
      <c r="J20" s="170">
        <v>14.519779279279277</v>
      </c>
      <c r="K20" s="149">
        <v>5.2639362649030463</v>
      </c>
      <c r="L20" s="170">
        <v>46.168515035228431</v>
      </c>
      <c r="M20" s="149">
        <v>33.066127999999999</v>
      </c>
      <c r="N20" s="170">
        <v>42.357122000000004</v>
      </c>
      <c r="O20" s="149">
        <v>157.733361</v>
      </c>
      <c r="P20" s="157">
        <v>20.849271999999999</v>
      </c>
    </row>
    <row r="21" spans="1:18" ht="35.25" customHeight="1" x14ac:dyDescent="0.2">
      <c r="A21" s="26" t="s">
        <v>34</v>
      </c>
      <c r="B21" s="16" t="s">
        <v>62</v>
      </c>
      <c r="C21" s="15" t="s">
        <v>71</v>
      </c>
      <c r="D21" s="167">
        <v>2.3667730000000002</v>
      </c>
      <c r="E21" s="149">
        <v>8.7095260000000003</v>
      </c>
      <c r="F21" s="170">
        <v>0.697658</v>
      </c>
      <c r="G21" s="149">
        <v>4.1306609999999999</v>
      </c>
      <c r="H21" s="170">
        <v>1.4211199999999999</v>
      </c>
      <c r="I21" s="149">
        <v>0.375114</v>
      </c>
      <c r="J21" s="170">
        <v>1.626215279279279</v>
      </c>
      <c r="K21" s="149">
        <v>0.9268738975241283</v>
      </c>
      <c r="L21" s="170">
        <v>4.4931198832284309</v>
      </c>
      <c r="M21" s="149">
        <v>3.050681</v>
      </c>
      <c r="N21" s="170">
        <v>10.629095999999999</v>
      </c>
      <c r="O21" s="149">
        <v>8.1516599999999997</v>
      </c>
      <c r="P21" s="157">
        <v>5.0660410000000002</v>
      </c>
    </row>
    <row r="22" spans="1:18" ht="63.75" customHeight="1" x14ac:dyDescent="0.2">
      <c r="A22" s="27">
        <v>2</v>
      </c>
      <c r="B22" s="30" t="s">
        <v>63</v>
      </c>
      <c r="C22" s="24" t="s">
        <v>64</v>
      </c>
      <c r="D22" s="43">
        <f>D23/D24</f>
        <v>1.5679159464140804</v>
      </c>
      <c r="E22" s="150">
        <f>E23/E24</f>
        <v>3.2649694194185392</v>
      </c>
      <c r="F22" s="166">
        <f t="shared" ref="F22:O22" si="6">F23/F24</f>
        <v>1.9125726824294536</v>
      </c>
      <c r="G22" s="150">
        <f t="shared" si="6"/>
        <v>3.9748353034198218</v>
      </c>
      <c r="H22" s="166" t="s">
        <v>137</v>
      </c>
      <c r="I22" s="150" t="s">
        <v>137</v>
      </c>
      <c r="J22" s="166" t="s">
        <v>137</v>
      </c>
      <c r="K22" s="150" t="s">
        <v>137</v>
      </c>
      <c r="L22" s="166" t="s">
        <v>137</v>
      </c>
      <c r="M22" s="150">
        <f t="shared" si="6"/>
        <v>3.8467812136939656</v>
      </c>
      <c r="N22" s="166" t="s">
        <v>137</v>
      </c>
      <c r="O22" s="150">
        <f t="shared" si="6"/>
        <v>0.7227524936845795</v>
      </c>
      <c r="P22" s="155" t="s">
        <v>137</v>
      </c>
    </row>
    <row r="23" spans="1:18" ht="49.5" customHeight="1" x14ac:dyDescent="0.2">
      <c r="A23" s="26" t="s">
        <v>36</v>
      </c>
      <c r="B23" s="16" t="s">
        <v>65</v>
      </c>
      <c r="C23" s="15" t="s">
        <v>72</v>
      </c>
      <c r="D23" s="167">
        <v>48.502179999999996</v>
      </c>
      <c r="E23" s="149">
        <v>849.60668555534255</v>
      </c>
      <c r="F23" s="170">
        <v>35.534559999999999</v>
      </c>
      <c r="G23" s="149">
        <v>517.94000000000005</v>
      </c>
      <c r="H23" s="170" t="s">
        <v>137</v>
      </c>
      <c r="I23" s="149" t="s">
        <v>137</v>
      </c>
      <c r="J23" s="170" t="s">
        <v>137</v>
      </c>
      <c r="K23" s="149" t="s">
        <v>137</v>
      </c>
      <c r="L23" s="170" t="s">
        <v>137</v>
      </c>
      <c r="M23" s="149">
        <v>127.19816000000002</v>
      </c>
      <c r="N23" s="170" t="s">
        <v>137</v>
      </c>
      <c r="O23" s="149">
        <v>114.00218</v>
      </c>
      <c r="P23" s="157" t="s">
        <v>137</v>
      </c>
    </row>
    <row r="24" spans="1:18" ht="17.25" customHeight="1" x14ac:dyDescent="0.2">
      <c r="A24" s="28" t="s">
        <v>55</v>
      </c>
      <c r="B24" s="29" t="s">
        <v>66</v>
      </c>
      <c r="C24" s="23" t="s">
        <v>71</v>
      </c>
      <c r="D24" s="168">
        <v>30.934170999999999</v>
      </c>
      <c r="E24" s="151">
        <v>260.21888000000001</v>
      </c>
      <c r="F24" s="171">
        <v>18.579455999999997</v>
      </c>
      <c r="G24" s="151">
        <v>130.30476999999999</v>
      </c>
      <c r="H24" s="171" t="s">
        <v>137</v>
      </c>
      <c r="I24" s="151" t="s">
        <v>137</v>
      </c>
      <c r="J24" s="171" t="s">
        <v>137</v>
      </c>
      <c r="K24" s="151" t="s">
        <v>137</v>
      </c>
      <c r="L24" s="171" t="s">
        <v>137</v>
      </c>
      <c r="M24" s="151">
        <v>33.066127999999999</v>
      </c>
      <c r="N24" s="171" t="s">
        <v>137</v>
      </c>
      <c r="O24" s="151">
        <v>157.733361</v>
      </c>
      <c r="P24" s="173" t="s">
        <v>137</v>
      </c>
    </row>
  </sheetData>
  <mergeCells count="22">
    <mergeCell ref="A1:P1"/>
    <mergeCell ref="A2:A5"/>
    <mergeCell ref="B2:B5"/>
    <mergeCell ref="C2:C5"/>
    <mergeCell ref="D2:P2"/>
    <mergeCell ref="D3:D4"/>
    <mergeCell ref="E3:E4"/>
    <mergeCell ref="F3:F4"/>
    <mergeCell ref="G3:G4"/>
    <mergeCell ref="H3:H4"/>
    <mergeCell ref="O3:O4"/>
    <mergeCell ref="P3:P4"/>
    <mergeCell ref="B7:P7"/>
    <mergeCell ref="B14:P14"/>
    <mergeCell ref="B18:P18"/>
    <mergeCell ref="I3:I4"/>
    <mergeCell ref="J3:J4"/>
    <mergeCell ref="K3:K4"/>
    <mergeCell ref="L3:L4"/>
    <mergeCell ref="M3:M4"/>
    <mergeCell ref="N3:N4"/>
    <mergeCell ref="D5:P5"/>
  </mergeCells>
  <printOptions horizontalCentered="1"/>
  <pageMargins left="0.39370078740157483" right="0.39370078740157483" top="0.98425196850393704" bottom="0.39370078740157483" header="0.31496062992125984" footer="0.31496062992125984"/>
  <pageSetup paperSize="9" scale="50" orientation="landscape" r:id="rId1"/>
  <headerFooter alignWithMargins="0"/>
  <colBreaks count="1" manualBreakCount="1">
    <brk id="10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R24"/>
  <sheetViews>
    <sheetView zoomScaleNormal="100" workbookViewId="0">
      <pane xSplit="3" ySplit="5" topLeftCell="D15" activePane="bottomRight" state="frozen"/>
      <selection activeCell="A17" sqref="A17"/>
      <selection pane="topRight" activeCell="A17" sqref="A17"/>
      <selection pane="bottomLeft" activeCell="A17" sqref="A17"/>
      <selection pane="bottomRight" activeCell="L24" sqref="L24"/>
    </sheetView>
  </sheetViews>
  <sheetFormatPr defaultColWidth="9.140625" defaultRowHeight="12.75" x14ac:dyDescent="0.2"/>
  <cols>
    <col min="1" max="1" width="5.140625" style="8" customWidth="1"/>
    <col min="2" max="2" width="55.42578125" style="8" customWidth="1"/>
    <col min="3" max="3" width="10.140625" style="8" customWidth="1"/>
    <col min="4" max="16" width="10.28515625" style="8" customWidth="1"/>
    <col min="17" max="17" width="7.28515625" style="8" customWidth="1"/>
    <col min="18" max="16384" width="9.140625" style="8"/>
  </cols>
  <sheetData>
    <row r="1" spans="1:16" s="1" customFormat="1" ht="21" customHeight="1" x14ac:dyDescent="0.25">
      <c r="A1" s="419" t="s">
        <v>207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</row>
    <row r="2" spans="1:16" ht="16.5" customHeight="1" x14ac:dyDescent="0.2">
      <c r="A2" s="497" t="s">
        <v>29</v>
      </c>
      <c r="B2" s="497" t="s">
        <v>2</v>
      </c>
      <c r="C2" s="497" t="s">
        <v>30</v>
      </c>
      <c r="D2" s="502" t="s">
        <v>70</v>
      </c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4"/>
    </row>
    <row r="3" spans="1:16" ht="21" customHeight="1" x14ac:dyDescent="0.2">
      <c r="A3" s="498"/>
      <c r="B3" s="498"/>
      <c r="C3" s="498"/>
      <c r="D3" s="505" t="s">
        <v>11</v>
      </c>
      <c r="E3" s="505" t="s">
        <v>12</v>
      </c>
      <c r="F3" s="505" t="s">
        <v>13</v>
      </c>
      <c r="G3" s="505" t="s">
        <v>14</v>
      </c>
      <c r="H3" s="505" t="s">
        <v>15</v>
      </c>
      <c r="I3" s="505" t="s">
        <v>16</v>
      </c>
      <c r="J3" s="505" t="s">
        <v>17</v>
      </c>
      <c r="K3" s="505" t="s">
        <v>18</v>
      </c>
      <c r="L3" s="505" t="s">
        <v>19</v>
      </c>
      <c r="M3" s="505" t="s">
        <v>20</v>
      </c>
      <c r="N3" s="505" t="s">
        <v>21</v>
      </c>
      <c r="O3" s="505" t="s">
        <v>22</v>
      </c>
      <c r="P3" s="500" t="s">
        <v>23</v>
      </c>
    </row>
    <row r="4" spans="1:16" ht="28.5" customHeight="1" x14ac:dyDescent="0.2">
      <c r="A4" s="498"/>
      <c r="B4" s="498"/>
      <c r="C4" s="498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1"/>
    </row>
    <row r="5" spans="1:16" ht="15.75" customHeight="1" x14ac:dyDescent="0.2">
      <c r="A5" s="499"/>
      <c r="B5" s="499"/>
      <c r="C5" s="499"/>
      <c r="D5" s="510" t="s">
        <v>152</v>
      </c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2"/>
    </row>
    <row r="6" spans="1:16" x14ac:dyDescent="0.2">
      <c r="A6" s="131">
        <v>1</v>
      </c>
      <c r="B6" s="9">
        <f>A6+1</f>
        <v>2</v>
      </c>
      <c r="C6" s="9">
        <f t="shared" ref="C6:P6" si="0">B6+1</f>
        <v>3</v>
      </c>
      <c r="D6" s="9">
        <f t="shared" si="0"/>
        <v>4</v>
      </c>
      <c r="E6" s="9">
        <f t="shared" si="0"/>
        <v>5</v>
      </c>
      <c r="F6" s="9">
        <f t="shared" si="0"/>
        <v>6</v>
      </c>
      <c r="G6" s="9">
        <f t="shared" si="0"/>
        <v>7</v>
      </c>
      <c r="H6" s="9">
        <f t="shared" si="0"/>
        <v>8</v>
      </c>
      <c r="I6" s="9">
        <f t="shared" si="0"/>
        <v>9</v>
      </c>
      <c r="J6" s="9">
        <f t="shared" si="0"/>
        <v>10</v>
      </c>
      <c r="K6" s="9">
        <f t="shared" si="0"/>
        <v>11</v>
      </c>
      <c r="L6" s="9">
        <f t="shared" si="0"/>
        <v>12</v>
      </c>
      <c r="M6" s="9">
        <f t="shared" si="0"/>
        <v>13</v>
      </c>
      <c r="N6" s="9">
        <f t="shared" si="0"/>
        <v>14</v>
      </c>
      <c r="O6" s="9">
        <f t="shared" si="0"/>
        <v>15</v>
      </c>
      <c r="P6" s="9">
        <f t="shared" si="0"/>
        <v>16</v>
      </c>
    </row>
    <row r="7" spans="1:16" ht="15.75" x14ac:dyDescent="0.2">
      <c r="A7" s="10" t="s">
        <v>67</v>
      </c>
      <c r="B7" s="507" t="s">
        <v>32</v>
      </c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9"/>
    </row>
    <row r="8" spans="1:16" ht="112.5" customHeight="1" x14ac:dyDescent="0.2">
      <c r="A8" s="14">
        <v>1</v>
      </c>
      <c r="B8" s="152" t="s">
        <v>49</v>
      </c>
      <c r="C8" s="22" t="s">
        <v>4</v>
      </c>
      <c r="D8" s="158">
        <f>D9/D10*100</f>
        <v>0</v>
      </c>
      <c r="E8" s="144">
        <f t="shared" ref="E8:P8" si="1">E9/E10*100</f>
        <v>0</v>
      </c>
      <c r="F8" s="162">
        <f t="shared" si="1"/>
        <v>0</v>
      </c>
      <c r="G8" s="144">
        <f t="shared" si="1"/>
        <v>0</v>
      </c>
      <c r="H8" s="162">
        <f t="shared" si="1"/>
        <v>0</v>
      </c>
      <c r="I8" s="144">
        <f t="shared" si="1"/>
        <v>0</v>
      </c>
      <c r="J8" s="162">
        <f t="shared" si="1"/>
        <v>0</v>
      </c>
      <c r="K8" s="144">
        <f t="shared" si="1"/>
        <v>0</v>
      </c>
      <c r="L8" s="162">
        <f t="shared" si="1"/>
        <v>0</v>
      </c>
      <c r="M8" s="144">
        <f t="shared" si="1"/>
        <v>0</v>
      </c>
      <c r="N8" s="162">
        <f t="shared" si="1"/>
        <v>0</v>
      </c>
      <c r="O8" s="144">
        <f t="shared" si="1"/>
        <v>0</v>
      </c>
      <c r="P8" s="163">
        <f t="shared" si="1"/>
        <v>0</v>
      </c>
    </row>
    <row r="9" spans="1:16" ht="51" customHeight="1" x14ac:dyDescent="0.2">
      <c r="A9" s="18" t="s">
        <v>33</v>
      </c>
      <c r="B9" s="16" t="s">
        <v>50</v>
      </c>
      <c r="C9" s="15" t="s">
        <v>51</v>
      </c>
      <c r="D9" s="159">
        <v>0</v>
      </c>
      <c r="E9" s="145">
        <v>0</v>
      </c>
      <c r="F9" s="41">
        <v>0</v>
      </c>
      <c r="G9" s="145">
        <v>0</v>
      </c>
      <c r="H9" s="41">
        <v>0</v>
      </c>
      <c r="I9" s="145">
        <v>0</v>
      </c>
      <c r="J9" s="41">
        <v>0</v>
      </c>
      <c r="K9" s="145">
        <v>0</v>
      </c>
      <c r="L9" s="41">
        <v>0</v>
      </c>
      <c r="M9" s="145">
        <v>0</v>
      </c>
      <c r="N9" s="41">
        <v>0</v>
      </c>
      <c r="O9" s="145">
        <v>0</v>
      </c>
      <c r="P9" s="45">
        <v>0</v>
      </c>
    </row>
    <row r="10" spans="1:16" ht="20.25" customHeight="1" x14ac:dyDescent="0.2">
      <c r="A10" s="18" t="s">
        <v>34</v>
      </c>
      <c r="B10" s="19" t="s">
        <v>52</v>
      </c>
      <c r="C10" s="15" t="s">
        <v>51</v>
      </c>
      <c r="D10" s="160">
        <v>24</v>
      </c>
      <c r="E10" s="145">
        <v>16</v>
      </c>
      <c r="F10" s="41">
        <v>32</v>
      </c>
      <c r="G10" s="145">
        <v>40</v>
      </c>
      <c r="H10" s="41">
        <v>16</v>
      </c>
      <c r="I10" s="145">
        <v>32</v>
      </c>
      <c r="J10" s="41">
        <v>20</v>
      </c>
      <c r="K10" s="145">
        <v>16</v>
      </c>
      <c r="L10" s="41">
        <v>16</v>
      </c>
      <c r="M10" s="145">
        <v>16</v>
      </c>
      <c r="N10" s="41">
        <v>32</v>
      </c>
      <c r="O10" s="145">
        <v>40</v>
      </c>
      <c r="P10" s="45">
        <v>16</v>
      </c>
    </row>
    <row r="11" spans="1:16" ht="81" customHeight="1" x14ac:dyDescent="0.2">
      <c r="A11" s="18" t="s">
        <v>53</v>
      </c>
      <c r="B11" s="19" t="s">
        <v>40</v>
      </c>
      <c r="C11" s="15" t="s">
        <v>4</v>
      </c>
      <c r="D11" s="159">
        <f>D12/D13*100</f>
        <v>0</v>
      </c>
      <c r="E11" s="145">
        <f t="shared" ref="E11:P11" si="2">E12/E13*100</f>
        <v>0</v>
      </c>
      <c r="F11" s="41">
        <f t="shared" si="2"/>
        <v>0</v>
      </c>
      <c r="G11" s="145">
        <f t="shared" si="2"/>
        <v>0</v>
      </c>
      <c r="H11" s="41">
        <f t="shared" si="2"/>
        <v>0</v>
      </c>
      <c r="I11" s="145">
        <f t="shared" si="2"/>
        <v>0</v>
      </c>
      <c r="J11" s="41">
        <f t="shared" si="2"/>
        <v>0</v>
      </c>
      <c r="K11" s="145">
        <f t="shared" si="2"/>
        <v>0</v>
      </c>
      <c r="L11" s="41">
        <f t="shared" si="2"/>
        <v>0</v>
      </c>
      <c r="M11" s="145">
        <f t="shared" si="2"/>
        <v>0</v>
      </c>
      <c r="N11" s="41">
        <f t="shared" si="2"/>
        <v>0</v>
      </c>
      <c r="O11" s="145">
        <f t="shared" si="2"/>
        <v>0</v>
      </c>
      <c r="P11" s="145">
        <f t="shared" si="2"/>
        <v>0</v>
      </c>
    </row>
    <row r="12" spans="1:16" ht="65.25" customHeight="1" x14ac:dyDescent="0.2">
      <c r="A12" s="18" t="s">
        <v>36</v>
      </c>
      <c r="B12" s="20" t="s">
        <v>54</v>
      </c>
      <c r="C12" s="15" t="s">
        <v>51</v>
      </c>
      <c r="D12" s="159">
        <v>0</v>
      </c>
      <c r="E12" s="145">
        <v>0</v>
      </c>
      <c r="F12" s="41">
        <v>0</v>
      </c>
      <c r="G12" s="145">
        <v>0</v>
      </c>
      <c r="H12" s="41">
        <v>0</v>
      </c>
      <c r="I12" s="145">
        <v>0</v>
      </c>
      <c r="J12" s="41">
        <v>0</v>
      </c>
      <c r="K12" s="145">
        <v>0</v>
      </c>
      <c r="L12" s="41">
        <v>0</v>
      </c>
      <c r="M12" s="145">
        <v>0</v>
      </c>
      <c r="N12" s="41">
        <v>0</v>
      </c>
      <c r="O12" s="145">
        <v>0</v>
      </c>
      <c r="P12" s="145">
        <v>0</v>
      </c>
    </row>
    <row r="13" spans="1:16" ht="18" customHeight="1" x14ac:dyDescent="0.2">
      <c r="A13" s="17" t="s">
        <v>55</v>
      </c>
      <c r="B13" s="12" t="s">
        <v>52</v>
      </c>
      <c r="C13" s="13" t="s">
        <v>51</v>
      </c>
      <c r="D13" s="161">
        <v>24</v>
      </c>
      <c r="E13" s="146">
        <v>42</v>
      </c>
      <c r="F13" s="42">
        <v>24</v>
      </c>
      <c r="G13" s="146">
        <v>16</v>
      </c>
      <c r="H13" s="42">
        <v>16</v>
      </c>
      <c r="I13" s="146">
        <v>24</v>
      </c>
      <c r="J13" s="42">
        <v>20</v>
      </c>
      <c r="K13" s="146">
        <v>12</v>
      </c>
      <c r="L13" s="42">
        <v>12</v>
      </c>
      <c r="M13" s="146">
        <v>48</v>
      </c>
      <c r="N13" s="42">
        <v>60</v>
      </c>
      <c r="O13" s="146">
        <v>120</v>
      </c>
      <c r="P13" s="46">
        <v>24</v>
      </c>
    </row>
    <row r="14" spans="1:16" ht="17.25" customHeight="1" x14ac:dyDescent="0.2">
      <c r="A14" s="11" t="s">
        <v>68</v>
      </c>
      <c r="B14" s="513" t="s">
        <v>35</v>
      </c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5"/>
    </row>
    <row r="15" spans="1:16" ht="31.5" customHeight="1" x14ac:dyDescent="0.2">
      <c r="A15" s="14">
        <v>1</v>
      </c>
      <c r="B15" s="153" t="s">
        <v>56</v>
      </c>
      <c r="C15" s="22" t="s">
        <v>37</v>
      </c>
      <c r="D15" s="158">
        <f>D16/D17</f>
        <v>0</v>
      </c>
      <c r="E15" s="144">
        <f>E16/E17</f>
        <v>0</v>
      </c>
      <c r="F15" s="162">
        <f t="shared" ref="F15:P15" si="3">F16/F17</f>
        <v>0</v>
      </c>
      <c r="G15" s="144">
        <f t="shared" si="3"/>
        <v>0</v>
      </c>
      <c r="H15" s="162">
        <f t="shared" si="3"/>
        <v>0</v>
      </c>
      <c r="I15" s="144">
        <f t="shared" si="3"/>
        <v>0</v>
      </c>
      <c r="J15" s="162">
        <f t="shared" si="3"/>
        <v>0</v>
      </c>
      <c r="K15" s="144">
        <f t="shared" si="3"/>
        <v>0</v>
      </c>
      <c r="L15" s="162">
        <f t="shared" si="3"/>
        <v>0</v>
      </c>
      <c r="M15" s="144">
        <f t="shared" si="3"/>
        <v>0</v>
      </c>
      <c r="N15" s="162">
        <f t="shared" si="3"/>
        <v>0</v>
      </c>
      <c r="O15" s="144">
        <f t="shared" si="3"/>
        <v>0</v>
      </c>
      <c r="P15" s="163">
        <f t="shared" si="3"/>
        <v>0</v>
      </c>
    </row>
    <row r="16" spans="1:16" ht="219.75" customHeight="1" x14ac:dyDescent="0.2">
      <c r="A16" s="18" t="s">
        <v>33</v>
      </c>
      <c r="B16" s="19" t="s">
        <v>57</v>
      </c>
      <c r="C16" s="15" t="s">
        <v>51</v>
      </c>
      <c r="D16" s="159">
        <v>0</v>
      </c>
      <c r="E16" s="145">
        <v>0</v>
      </c>
      <c r="F16" s="41">
        <v>0</v>
      </c>
      <c r="G16" s="145">
        <v>0</v>
      </c>
      <c r="H16" s="41">
        <v>0</v>
      </c>
      <c r="I16" s="145">
        <v>0</v>
      </c>
      <c r="J16" s="41">
        <v>0</v>
      </c>
      <c r="K16" s="145">
        <v>0</v>
      </c>
      <c r="L16" s="41">
        <v>0</v>
      </c>
      <c r="M16" s="145">
        <v>0</v>
      </c>
      <c r="N16" s="41">
        <v>0</v>
      </c>
      <c r="O16" s="145">
        <v>0</v>
      </c>
      <c r="P16" s="45">
        <v>0</v>
      </c>
    </row>
    <row r="17" spans="1:18" ht="20.25" customHeight="1" x14ac:dyDescent="0.2">
      <c r="A17" s="17" t="s">
        <v>34</v>
      </c>
      <c r="B17" s="154" t="s">
        <v>58</v>
      </c>
      <c r="C17" s="24" t="s">
        <v>59</v>
      </c>
      <c r="D17" s="164">
        <v>5.4377000000000004</v>
      </c>
      <c r="E17" s="165">
        <f>(46.887-12.872)*0+34.264</f>
        <v>34.264000000000003</v>
      </c>
      <c r="F17" s="166">
        <v>1.7110000000000001</v>
      </c>
      <c r="G17" s="147">
        <v>5.45</v>
      </c>
      <c r="H17" s="166">
        <v>8.5090000000000003</v>
      </c>
      <c r="I17" s="147">
        <v>2.8695000000000004</v>
      </c>
      <c r="J17" s="166">
        <v>3.0844999999999998</v>
      </c>
      <c r="K17" s="147">
        <v>2.8849999999999998</v>
      </c>
      <c r="L17" s="166">
        <v>8.2804000000000002</v>
      </c>
      <c r="M17" s="147">
        <v>3.5790000000000002</v>
      </c>
      <c r="N17" s="166">
        <v>4.2149999999999999</v>
      </c>
      <c r="O17" s="147">
        <v>16.206199999999999</v>
      </c>
      <c r="P17" s="155">
        <v>5.2149999999999999</v>
      </c>
      <c r="R17" s="127"/>
    </row>
    <row r="18" spans="1:18" ht="15.75" customHeight="1" x14ac:dyDescent="0.2">
      <c r="A18" s="11" t="s">
        <v>69</v>
      </c>
      <c r="B18" s="513" t="s">
        <v>38</v>
      </c>
      <c r="C18" s="514"/>
      <c r="D18" s="514"/>
      <c r="E18" s="514"/>
      <c r="F18" s="514"/>
      <c r="G18" s="514"/>
      <c r="H18" s="514"/>
      <c r="I18" s="514"/>
      <c r="J18" s="514"/>
      <c r="K18" s="514"/>
      <c r="L18" s="514"/>
      <c r="M18" s="514"/>
      <c r="N18" s="514"/>
      <c r="O18" s="514"/>
      <c r="P18" s="515"/>
    </row>
    <row r="19" spans="1:18" ht="51.75" customHeight="1" x14ac:dyDescent="0.2">
      <c r="A19" s="25">
        <v>1</v>
      </c>
      <c r="B19" s="156" t="s">
        <v>60</v>
      </c>
      <c r="C19" s="22" t="s">
        <v>4</v>
      </c>
      <c r="D19" s="44">
        <f>D21/D20*100</f>
        <v>7.6509979621830526</v>
      </c>
      <c r="E19" s="148">
        <f>E21/E20*100</f>
        <v>3.3470001489921928</v>
      </c>
      <c r="F19" s="169">
        <f t="shared" ref="F19:P19" si="4">F21/F20*100</f>
        <v>3.7549981308404887</v>
      </c>
      <c r="G19" s="148">
        <f t="shared" si="4"/>
        <v>3.1699996424251609</v>
      </c>
      <c r="H19" s="169">
        <f t="shared" si="4"/>
        <v>6.1860001666237796</v>
      </c>
      <c r="I19" s="148">
        <f t="shared" si="4"/>
        <v>2.4749983753125004</v>
      </c>
      <c r="J19" s="169">
        <f t="shared" si="4"/>
        <v>11.214888076448167</v>
      </c>
      <c r="K19" s="148">
        <f t="shared" si="4"/>
        <v>17.608002400901128</v>
      </c>
      <c r="L19" s="169">
        <f t="shared" si="4"/>
        <v>9.7320006245906274</v>
      </c>
      <c r="M19" s="148">
        <f t="shared" si="4"/>
        <v>9.2259992264289234</v>
      </c>
      <c r="N19" s="169">
        <f t="shared" si="4"/>
        <v>25.093998945461038</v>
      </c>
      <c r="O19" s="148">
        <f t="shared" si="4"/>
        <v>5.1680001260083728</v>
      </c>
      <c r="P19" s="172">
        <f t="shared" si="4"/>
        <v>24.298405977249647</v>
      </c>
    </row>
    <row r="20" spans="1:18" ht="18" customHeight="1" x14ac:dyDescent="0.2">
      <c r="A20" s="26" t="s">
        <v>33</v>
      </c>
      <c r="B20" s="21" t="s">
        <v>61</v>
      </c>
      <c r="C20" s="22" t="s">
        <v>71</v>
      </c>
      <c r="D20" s="167">
        <v>31.542578000000002</v>
      </c>
      <c r="E20" s="149">
        <v>269.806083</v>
      </c>
      <c r="F20" s="170">
        <v>23.652342000000001</v>
      </c>
      <c r="G20" s="149">
        <v>127.16219099999999</v>
      </c>
      <c r="H20" s="170">
        <v>21.653572</v>
      </c>
      <c r="I20" s="149">
        <v>14.141181000000001</v>
      </c>
      <c r="J20" s="170">
        <v>14.077198000000001</v>
      </c>
      <c r="K20" s="149">
        <v>5.3080069999999999</v>
      </c>
      <c r="L20" s="170">
        <v>42.882487999999995</v>
      </c>
      <c r="M20" s="149">
        <v>33.930947999999994</v>
      </c>
      <c r="N20" s="170">
        <v>44.186133999999996</v>
      </c>
      <c r="O20" s="149">
        <v>167.60791</v>
      </c>
      <c r="P20" s="157">
        <v>19.811385999999999</v>
      </c>
    </row>
    <row r="21" spans="1:18" ht="35.25" customHeight="1" x14ac:dyDescent="0.2">
      <c r="A21" s="26" t="s">
        <v>34</v>
      </c>
      <c r="B21" s="16" t="s">
        <v>62</v>
      </c>
      <c r="C21" s="15" t="s">
        <v>71</v>
      </c>
      <c r="D21" s="167">
        <v>2.413322</v>
      </c>
      <c r="E21" s="149">
        <v>9.0304099999999998</v>
      </c>
      <c r="F21" s="170">
        <v>0.88814499999999996</v>
      </c>
      <c r="G21" s="149">
        <v>4.0310410000000001</v>
      </c>
      <c r="H21" s="170">
        <v>1.3394900000000001</v>
      </c>
      <c r="I21" s="149">
        <v>0.34999400000000003</v>
      </c>
      <c r="J21" s="170">
        <v>1.5787419999999999</v>
      </c>
      <c r="K21" s="149">
        <v>0.93463399999999996</v>
      </c>
      <c r="L21" s="170">
        <v>4.173324</v>
      </c>
      <c r="M21" s="149">
        <v>3.1304690000000002</v>
      </c>
      <c r="N21" s="170">
        <v>11.088068</v>
      </c>
      <c r="O21" s="149">
        <v>8.6619770000000003</v>
      </c>
      <c r="P21" s="157">
        <v>4.8138509999999997</v>
      </c>
    </row>
    <row r="22" spans="1:18" ht="63.75" customHeight="1" x14ac:dyDescent="0.2">
      <c r="A22" s="27">
        <v>2</v>
      </c>
      <c r="B22" s="30" t="s">
        <v>63</v>
      </c>
      <c r="C22" s="24" t="s">
        <v>64</v>
      </c>
      <c r="D22" s="43">
        <f>D23/D24</f>
        <v>1.5680000000000001</v>
      </c>
      <c r="E22" s="150">
        <f>E23/E24</f>
        <v>3.2650000000000001</v>
      </c>
      <c r="F22" s="166">
        <f t="shared" ref="F22:O22" si="5">F23/F24</f>
        <v>1.9130000000000003</v>
      </c>
      <c r="G22" s="150">
        <f t="shared" si="5"/>
        <v>3.9750000000000001</v>
      </c>
      <c r="H22" s="166" t="s">
        <v>137</v>
      </c>
      <c r="I22" s="150" t="s">
        <v>137</v>
      </c>
      <c r="J22" s="166" t="s">
        <v>137</v>
      </c>
      <c r="K22" s="150" t="s">
        <v>137</v>
      </c>
      <c r="L22" s="166" t="s">
        <v>137</v>
      </c>
      <c r="M22" s="150">
        <f t="shared" si="5"/>
        <v>3.8470000000000009</v>
      </c>
      <c r="N22" s="166" t="s">
        <v>137</v>
      </c>
      <c r="O22" s="150">
        <f t="shared" si="5"/>
        <v>0.7227524936845795</v>
      </c>
      <c r="P22" s="155" t="s">
        <v>137</v>
      </c>
    </row>
    <row r="23" spans="1:18" ht="49.5" customHeight="1" x14ac:dyDescent="0.2">
      <c r="A23" s="26" t="s">
        <v>36</v>
      </c>
      <c r="B23" s="16" t="s">
        <v>65</v>
      </c>
      <c r="C23" s="15" t="s">
        <v>72</v>
      </c>
      <c r="D23" s="167">
        <v>49.458762304000004</v>
      </c>
      <c r="E23" s="149">
        <v>880.91686099499998</v>
      </c>
      <c r="F23" s="170">
        <v>45.246930246000005</v>
      </c>
      <c r="G23" s="149">
        <v>505.46970922499997</v>
      </c>
      <c r="H23" s="170" t="s">
        <v>137</v>
      </c>
      <c r="I23" s="149" t="s">
        <v>137</v>
      </c>
      <c r="J23" s="170" t="s">
        <v>137</v>
      </c>
      <c r="K23" s="149" t="s">
        <v>137</v>
      </c>
      <c r="L23" s="170" t="s">
        <v>137</v>
      </c>
      <c r="M23" s="149">
        <v>130.532356956</v>
      </c>
      <c r="N23" s="170" t="s">
        <v>137</v>
      </c>
      <c r="O23" s="149">
        <v>121.13903491376057</v>
      </c>
      <c r="P23" s="157" t="s">
        <v>137</v>
      </c>
    </row>
    <row r="24" spans="1:18" ht="17.25" customHeight="1" x14ac:dyDescent="0.2">
      <c r="A24" s="28" t="s">
        <v>55</v>
      </c>
      <c r="B24" s="29" t="s">
        <v>66</v>
      </c>
      <c r="C24" s="23" t="s">
        <v>71</v>
      </c>
      <c r="D24" s="168">
        <v>31.542578000000002</v>
      </c>
      <c r="E24" s="151">
        <v>269.806083</v>
      </c>
      <c r="F24" s="171">
        <v>23.652342000000001</v>
      </c>
      <c r="G24" s="151">
        <v>127.16219099999999</v>
      </c>
      <c r="H24" s="171" t="s">
        <v>137</v>
      </c>
      <c r="I24" s="151" t="s">
        <v>137</v>
      </c>
      <c r="J24" s="171" t="s">
        <v>137</v>
      </c>
      <c r="K24" s="151" t="s">
        <v>137</v>
      </c>
      <c r="L24" s="171" t="s">
        <v>137</v>
      </c>
      <c r="M24" s="151">
        <v>33.930947999999994</v>
      </c>
      <c r="N24" s="171" t="s">
        <v>137</v>
      </c>
      <c r="O24" s="151">
        <v>167.60791</v>
      </c>
      <c r="P24" s="173" t="s">
        <v>137</v>
      </c>
    </row>
  </sheetData>
  <mergeCells count="22">
    <mergeCell ref="A1:P1"/>
    <mergeCell ref="A2:A5"/>
    <mergeCell ref="B2:B5"/>
    <mergeCell ref="C2:C5"/>
    <mergeCell ref="D2:P2"/>
    <mergeCell ref="D3:D4"/>
    <mergeCell ref="E3:E4"/>
    <mergeCell ref="F3:F4"/>
    <mergeCell ref="G3:G4"/>
    <mergeCell ref="H3:H4"/>
    <mergeCell ref="O3:O4"/>
    <mergeCell ref="P3:P4"/>
    <mergeCell ref="B7:P7"/>
    <mergeCell ref="B14:P14"/>
    <mergeCell ref="B18:P18"/>
    <mergeCell ref="I3:I4"/>
    <mergeCell ref="J3:J4"/>
    <mergeCell ref="K3:K4"/>
    <mergeCell ref="L3:L4"/>
    <mergeCell ref="M3:M4"/>
    <mergeCell ref="N3:N4"/>
    <mergeCell ref="D5:P5"/>
  </mergeCells>
  <printOptions horizontalCentered="1"/>
  <pageMargins left="0.39370078740157483" right="0.39370078740157483" top="0.98425196850393704" bottom="0.39370078740157483" header="0.31496062992125984" footer="0.31496062992125984"/>
  <pageSetup paperSize="9" scale="50" orientation="landscape" r:id="rId1"/>
  <headerFooter alignWithMargins="0"/>
  <colBreaks count="1" manualBreakCount="1">
    <brk id="10" max="104857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R24"/>
  <sheetViews>
    <sheetView zoomScaleNormal="100" workbookViewId="0">
      <pane xSplit="3" ySplit="5" topLeftCell="D17" activePane="bottomRight" state="frozen"/>
      <selection activeCell="A17" sqref="A17"/>
      <selection pane="topRight" activeCell="A17" sqref="A17"/>
      <selection pane="bottomLeft" activeCell="A17" sqref="A17"/>
      <selection pane="bottomRight" activeCell="H29" sqref="H29"/>
    </sheetView>
  </sheetViews>
  <sheetFormatPr defaultColWidth="9.140625" defaultRowHeight="12.75" x14ac:dyDescent="0.2"/>
  <cols>
    <col min="1" max="1" width="5.140625" style="8" customWidth="1"/>
    <col min="2" max="2" width="55.42578125" style="8" customWidth="1"/>
    <col min="3" max="3" width="10.140625" style="8" customWidth="1"/>
    <col min="4" max="16" width="10.28515625" style="8" customWidth="1"/>
    <col min="17" max="17" width="7.28515625" style="8" customWidth="1"/>
    <col min="18" max="16384" width="9.140625" style="8"/>
  </cols>
  <sheetData>
    <row r="1" spans="1:16" s="1" customFormat="1" ht="21" customHeight="1" x14ac:dyDescent="0.25">
      <c r="A1" s="419" t="s">
        <v>207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</row>
    <row r="2" spans="1:16" ht="16.5" customHeight="1" x14ac:dyDescent="0.2">
      <c r="A2" s="497" t="s">
        <v>29</v>
      </c>
      <c r="B2" s="497" t="s">
        <v>2</v>
      </c>
      <c r="C2" s="497" t="s">
        <v>30</v>
      </c>
      <c r="D2" s="502" t="s">
        <v>70</v>
      </c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4"/>
    </row>
    <row r="3" spans="1:16" ht="21" customHeight="1" x14ac:dyDescent="0.2">
      <c r="A3" s="498"/>
      <c r="B3" s="498"/>
      <c r="C3" s="498"/>
      <c r="D3" s="505" t="s">
        <v>11</v>
      </c>
      <c r="E3" s="505" t="s">
        <v>12</v>
      </c>
      <c r="F3" s="505" t="s">
        <v>13</v>
      </c>
      <c r="G3" s="505" t="s">
        <v>14</v>
      </c>
      <c r="H3" s="505" t="s">
        <v>15</v>
      </c>
      <c r="I3" s="505" t="s">
        <v>16</v>
      </c>
      <c r="J3" s="505" t="s">
        <v>17</v>
      </c>
      <c r="K3" s="505" t="s">
        <v>18</v>
      </c>
      <c r="L3" s="505" t="s">
        <v>19</v>
      </c>
      <c r="M3" s="505" t="s">
        <v>20</v>
      </c>
      <c r="N3" s="505" t="s">
        <v>21</v>
      </c>
      <c r="O3" s="505" t="s">
        <v>22</v>
      </c>
      <c r="P3" s="500" t="s">
        <v>23</v>
      </c>
    </row>
    <row r="4" spans="1:16" ht="28.5" customHeight="1" x14ac:dyDescent="0.2">
      <c r="A4" s="498"/>
      <c r="B4" s="498"/>
      <c r="C4" s="498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1"/>
    </row>
    <row r="5" spans="1:16" ht="15.75" customHeight="1" x14ac:dyDescent="0.2">
      <c r="A5" s="499"/>
      <c r="B5" s="499"/>
      <c r="C5" s="499"/>
      <c r="D5" s="510" t="s">
        <v>154</v>
      </c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2"/>
    </row>
    <row r="6" spans="1:16" x14ac:dyDescent="0.2">
      <c r="A6" s="131">
        <v>1</v>
      </c>
      <c r="B6" s="9">
        <f>A6+1</f>
        <v>2</v>
      </c>
      <c r="C6" s="9">
        <f t="shared" ref="C6:P6" si="0">B6+1</f>
        <v>3</v>
      </c>
      <c r="D6" s="9">
        <f t="shared" si="0"/>
        <v>4</v>
      </c>
      <c r="E6" s="9">
        <f t="shared" si="0"/>
        <v>5</v>
      </c>
      <c r="F6" s="9">
        <f t="shared" si="0"/>
        <v>6</v>
      </c>
      <c r="G6" s="9">
        <f t="shared" si="0"/>
        <v>7</v>
      </c>
      <c r="H6" s="9">
        <f t="shared" si="0"/>
        <v>8</v>
      </c>
      <c r="I6" s="9">
        <f t="shared" si="0"/>
        <v>9</v>
      </c>
      <c r="J6" s="9">
        <f t="shared" si="0"/>
        <v>10</v>
      </c>
      <c r="K6" s="9">
        <f t="shared" si="0"/>
        <v>11</v>
      </c>
      <c r="L6" s="9">
        <f t="shared" si="0"/>
        <v>12</v>
      </c>
      <c r="M6" s="9">
        <f t="shared" si="0"/>
        <v>13</v>
      </c>
      <c r="N6" s="9">
        <f t="shared" si="0"/>
        <v>14</v>
      </c>
      <c r="O6" s="9">
        <f t="shared" si="0"/>
        <v>15</v>
      </c>
      <c r="P6" s="9">
        <f t="shared" si="0"/>
        <v>16</v>
      </c>
    </row>
    <row r="7" spans="1:16" ht="15.75" x14ac:dyDescent="0.2">
      <c r="A7" s="10" t="s">
        <v>67</v>
      </c>
      <c r="B7" s="507" t="s">
        <v>32</v>
      </c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9"/>
    </row>
    <row r="8" spans="1:16" ht="112.5" customHeight="1" x14ac:dyDescent="0.2">
      <c r="A8" s="14">
        <v>1</v>
      </c>
      <c r="B8" s="152" t="s">
        <v>49</v>
      </c>
      <c r="C8" s="22" t="s">
        <v>4</v>
      </c>
      <c r="D8" s="158">
        <f>D9/D10*100</f>
        <v>0</v>
      </c>
      <c r="E8" s="144">
        <f t="shared" ref="E8:P8" si="1">E9/E10*100</f>
        <v>0</v>
      </c>
      <c r="F8" s="162">
        <f t="shared" si="1"/>
        <v>0</v>
      </c>
      <c r="G8" s="144">
        <f t="shared" si="1"/>
        <v>0</v>
      </c>
      <c r="H8" s="162">
        <f t="shared" si="1"/>
        <v>0</v>
      </c>
      <c r="I8" s="144">
        <f t="shared" si="1"/>
        <v>0</v>
      </c>
      <c r="J8" s="162">
        <f t="shared" si="1"/>
        <v>0</v>
      </c>
      <c r="K8" s="144">
        <f t="shared" si="1"/>
        <v>0</v>
      </c>
      <c r="L8" s="162">
        <f t="shared" si="1"/>
        <v>0</v>
      </c>
      <c r="M8" s="144">
        <f t="shared" si="1"/>
        <v>0</v>
      </c>
      <c r="N8" s="162">
        <f t="shared" si="1"/>
        <v>0</v>
      </c>
      <c r="O8" s="144">
        <f t="shared" si="1"/>
        <v>0</v>
      </c>
      <c r="P8" s="163">
        <f t="shared" si="1"/>
        <v>0</v>
      </c>
    </row>
    <row r="9" spans="1:16" ht="51" customHeight="1" x14ac:dyDescent="0.2">
      <c r="A9" s="18" t="s">
        <v>33</v>
      </c>
      <c r="B9" s="16" t="s">
        <v>50</v>
      </c>
      <c r="C9" s="15" t="s">
        <v>51</v>
      </c>
      <c r="D9" s="159">
        <v>0</v>
      </c>
      <c r="E9" s="145">
        <v>0</v>
      </c>
      <c r="F9" s="41">
        <v>0</v>
      </c>
      <c r="G9" s="145">
        <v>0</v>
      </c>
      <c r="H9" s="41">
        <v>0</v>
      </c>
      <c r="I9" s="145">
        <v>0</v>
      </c>
      <c r="J9" s="41">
        <v>0</v>
      </c>
      <c r="K9" s="145">
        <v>0</v>
      </c>
      <c r="L9" s="41">
        <v>0</v>
      </c>
      <c r="M9" s="145">
        <v>0</v>
      </c>
      <c r="N9" s="41">
        <v>0</v>
      </c>
      <c r="O9" s="145">
        <v>0</v>
      </c>
      <c r="P9" s="45">
        <v>0</v>
      </c>
    </row>
    <row r="10" spans="1:16" ht="20.25" customHeight="1" x14ac:dyDescent="0.2">
      <c r="A10" s="18" t="s">
        <v>34</v>
      </c>
      <c r="B10" s="19" t="s">
        <v>52</v>
      </c>
      <c r="C10" s="15" t="s">
        <v>51</v>
      </c>
      <c r="D10" s="160">
        <v>24</v>
      </c>
      <c r="E10" s="145">
        <v>16</v>
      </c>
      <c r="F10" s="41">
        <v>32</v>
      </c>
      <c r="G10" s="145">
        <v>40</v>
      </c>
      <c r="H10" s="41">
        <v>16</v>
      </c>
      <c r="I10" s="145">
        <v>32</v>
      </c>
      <c r="J10" s="41">
        <v>20</v>
      </c>
      <c r="K10" s="145">
        <v>16</v>
      </c>
      <c r="L10" s="41">
        <v>16</v>
      </c>
      <c r="M10" s="145">
        <v>16</v>
      </c>
      <c r="N10" s="41">
        <v>32</v>
      </c>
      <c r="O10" s="145">
        <v>40</v>
      </c>
      <c r="P10" s="45">
        <v>16</v>
      </c>
    </row>
    <row r="11" spans="1:16" ht="81" customHeight="1" x14ac:dyDescent="0.2">
      <c r="A11" s="18" t="s">
        <v>53</v>
      </c>
      <c r="B11" s="19" t="s">
        <v>40</v>
      </c>
      <c r="C11" s="15" t="s">
        <v>4</v>
      </c>
      <c r="D11" s="159">
        <f>D12/D13*100</f>
        <v>0</v>
      </c>
      <c r="E11" s="145">
        <f t="shared" ref="E11:P11" si="2">E12/E13*100</f>
        <v>0</v>
      </c>
      <c r="F11" s="41">
        <f t="shared" si="2"/>
        <v>0</v>
      </c>
      <c r="G11" s="145">
        <f t="shared" si="2"/>
        <v>0</v>
      </c>
      <c r="H11" s="41">
        <f t="shared" si="2"/>
        <v>0</v>
      </c>
      <c r="I11" s="145">
        <f t="shared" si="2"/>
        <v>0</v>
      </c>
      <c r="J11" s="41">
        <f t="shared" si="2"/>
        <v>0</v>
      </c>
      <c r="K11" s="145">
        <f t="shared" si="2"/>
        <v>0</v>
      </c>
      <c r="L11" s="41">
        <f t="shared" si="2"/>
        <v>0</v>
      </c>
      <c r="M11" s="145">
        <f t="shared" si="2"/>
        <v>0</v>
      </c>
      <c r="N11" s="41">
        <f t="shared" si="2"/>
        <v>0</v>
      </c>
      <c r="O11" s="145">
        <f t="shared" si="2"/>
        <v>0</v>
      </c>
      <c r="P11" s="145">
        <f t="shared" si="2"/>
        <v>0</v>
      </c>
    </row>
    <row r="12" spans="1:16" ht="65.25" customHeight="1" x14ac:dyDescent="0.2">
      <c r="A12" s="18" t="s">
        <v>36</v>
      </c>
      <c r="B12" s="20" t="s">
        <v>54</v>
      </c>
      <c r="C12" s="15" t="s">
        <v>51</v>
      </c>
      <c r="D12" s="159">
        <v>0</v>
      </c>
      <c r="E12" s="145">
        <v>0</v>
      </c>
      <c r="F12" s="41">
        <v>0</v>
      </c>
      <c r="G12" s="145">
        <v>0</v>
      </c>
      <c r="H12" s="41">
        <v>0</v>
      </c>
      <c r="I12" s="145">
        <v>0</v>
      </c>
      <c r="J12" s="41">
        <v>0</v>
      </c>
      <c r="K12" s="145">
        <v>0</v>
      </c>
      <c r="L12" s="41">
        <v>0</v>
      </c>
      <c r="M12" s="145">
        <v>0</v>
      </c>
      <c r="N12" s="41">
        <v>0</v>
      </c>
      <c r="O12" s="145">
        <v>0</v>
      </c>
      <c r="P12" s="145">
        <v>0</v>
      </c>
    </row>
    <row r="13" spans="1:16" ht="18" customHeight="1" x14ac:dyDescent="0.2">
      <c r="A13" s="17" t="s">
        <v>55</v>
      </c>
      <c r="B13" s="12" t="s">
        <v>52</v>
      </c>
      <c r="C13" s="13" t="s">
        <v>51</v>
      </c>
      <c r="D13" s="161">
        <v>24</v>
      </c>
      <c r="E13" s="146">
        <v>42</v>
      </c>
      <c r="F13" s="42">
        <v>24</v>
      </c>
      <c r="G13" s="146">
        <v>16</v>
      </c>
      <c r="H13" s="42">
        <v>16</v>
      </c>
      <c r="I13" s="146">
        <v>24</v>
      </c>
      <c r="J13" s="42">
        <v>20</v>
      </c>
      <c r="K13" s="146">
        <v>12</v>
      </c>
      <c r="L13" s="42">
        <v>12</v>
      </c>
      <c r="M13" s="146">
        <v>48</v>
      </c>
      <c r="N13" s="42">
        <v>60</v>
      </c>
      <c r="O13" s="146">
        <v>120</v>
      </c>
      <c r="P13" s="46">
        <v>24</v>
      </c>
    </row>
    <row r="14" spans="1:16" ht="17.25" customHeight="1" x14ac:dyDescent="0.2">
      <c r="A14" s="11" t="s">
        <v>68</v>
      </c>
      <c r="B14" s="513" t="s">
        <v>35</v>
      </c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5"/>
    </row>
    <row r="15" spans="1:16" ht="31.5" customHeight="1" x14ac:dyDescent="0.2">
      <c r="A15" s="14">
        <v>1</v>
      </c>
      <c r="B15" s="153" t="s">
        <v>56</v>
      </c>
      <c r="C15" s="22" t="s">
        <v>37</v>
      </c>
      <c r="D15" s="158">
        <f>D16/D17</f>
        <v>0</v>
      </c>
      <c r="E15" s="144">
        <f>E16/E17</f>
        <v>0</v>
      </c>
      <c r="F15" s="162">
        <f t="shared" ref="F15:P15" si="3">F16/F17</f>
        <v>0</v>
      </c>
      <c r="G15" s="144">
        <f t="shared" si="3"/>
        <v>0</v>
      </c>
      <c r="H15" s="162">
        <f t="shared" si="3"/>
        <v>0</v>
      </c>
      <c r="I15" s="144">
        <f t="shared" si="3"/>
        <v>0</v>
      </c>
      <c r="J15" s="162">
        <f t="shared" si="3"/>
        <v>0</v>
      </c>
      <c r="K15" s="144">
        <f t="shared" si="3"/>
        <v>0</v>
      </c>
      <c r="L15" s="162">
        <f t="shared" si="3"/>
        <v>0</v>
      </c>
      <c r="M15" s="144">
        <f t="shared" si="3"/>
        <v>0</v>
      </c>
      <c r="N15" s="162">
        <f t="shared" si="3"/>
        <v>0</v>
      </c>
      <c r="O15" s="144">
        <f t="shared" si="3"/>
        <v>0</v>
      </c>
      <c r="P15" s="163">
        <f t="shared" si="3"/>
        <v>0</v>
      </c>
    </row>
    <row r="16" spans="1:16" ht="219.75" customHeight="1" x14ac:dyDescent="0.2">
      <c r="A16" s="18" t="s">
        <v>33</v>
      </c>
      <c r="B16" s="19" t="s">
        <v>57</v>
      </c>
      <c r="C16" s="15" t="s">
        <v>51</v>
      </c>
      <c r="D16" s="159">
        <v>0</v>
      </c>
      <c r="E16" s="145">
        <v>0</v>
      </c>
      <c r="F16" s="41">
        <v>0</v>
      </c>
      <c r="G16" s="145">
        <v>0</v>
      </c>
      <c r="H16" s="41">
        <v>0</v>
      </c>
      <c r="I16" s="145">
        <v>0</v>
      </c>
      <c r="J16" s="41">
        <v>0</v>
      </c>
      <c r="K16" s="145">
        <v>0</v>
      </c>
      <c r="L16" s="41">
        <v>0</v>
      </c>
      <c r="M16" s="145">
        <v>0</v>
      </c>
      <c r="N16" s="41">
        <v>0</v>
      </c>
      <c r="O16" s="145">
        <v>0</v>
      </c>
      <c r="P16" s="45">
        <v>0</v>
      </c>
    </row>
    <row r="17" spans="1:18" ht="20.25" customHeight="1" x14ac:dyDescent="0.2">
      <c r="A17" s="17" t="s">
        <v>34</v>
      </c>
      <c r="B17" s="154" t="s">
        <v>58</v>
      </c>
      <c r="C17" s="24" t="s">
        <v>59</v>
      </c>
      <c r="D17" s="164">
        <v>5.4377000000000004</v>
      </c>
      <c r="E17" s="165">
        <f>(46.887-12.872)*0+34.264</f>
        <v>34.264000000000003</v>
      </c>
      <c r="F17" s="166">
        <v>1.7110000000000001</v>
      </c>
      <c r="G17" s="147">
        <v>5.45</v>
      </c>
      <c r="H17" s="166">
        <v>8.5090000000000003</v>
      </c>
      <c r="I17" s="147">
        <v>2.8695000000000004</v>
      </c>
      <c r="J17" s="166">
        <v>3.0844999999999998</v>
      </c>
      <c r="K17" s="147">
        <v>2.8849999999999998</v>
      </c>
      <c r="L17" s="166">
        <v>8.2804000000000002</v>
      </c>
      <c r="M17" s="147">
        <v>3.5790000000000002</v>
      </c>
      <c r="N17" s="166">
        <v>4.2149999999999999</v>
      </c>
      <c r="O17" s="147">
        <v>16.206199999999999</v>
      </c>
      <c r="P17" s="155">
        <v>5.2149999999999999</v>
      </c>
      <c r="R17" s="127"/>
    </row>
    <row r="18" spans="1:18" ht="15.75" customHeight="1" x14ac:dyDescent="0.2">
      <c r="A18" s="11" t="s">
        <v>69</v>
      </c>
      <c r="B18" s="513" t="s">
        <v>38</v>
      </c>
      <c r="C18" s="514"/>
      <c r="D18" s="514"/>
      <c r="E18" s="514"/>
      <c r="F18" s="514"/>
      <c r="G18" s="514"/>
      <c r="H18" s="514"/>
      <c r="I18" s="514"/>
      <c r="J18" s="514"/>
      <c r="K18" s="514"/>
      <c r="L18" s="514"/>
      <c r="M18" s="514"/>
      <c r="N18" s="514"/>
      <c r="O18" s="514"/>
      <c r="P18" s="515"/>
    </row>
    <row r="19" spans="1:18" ht="51.75" customHeight="1" x14ac:dyDescent="0.2">
      <c r="A19" s="25">
        <v>1</v>
      </c>
      <c r="B19" s="156" t="s">
        <v>60</v>
      </c>
      <c r="C19" s="22" t="s">
        <v>4</v>
      </c>
      <c r="D19" s="391">
        <f t="shared" ref="D19:P19" si="4">D21/D20*100</f>
        <v>7.6940277513614124</v>
      </c>
      <c r="E19" s="391">
        <f t="shared" si="4"/>
        <v>3.3000000000000003</v>
      </c>
      <c r="F19" s="148">
        <f t="shared" si="4"/>
        <v>3.6608863198458566</v>
      </c>
      <c r="G19" s="148">
        <f t="shared" si="4"/>
        <v>3.1007751937984498</v>
      </c>
      <c r="H19" s="391">
        <f t="shared" si="4"/>
        <v>5.8380414312617699</v>
      </c>
      <c r="I19" s="391">
        <f t="shared" si="4"/>
        <v>2.4390243902439028</v>
      </c>
      <c r="J19" s="391">
        <f t="shared" si="4"/>
        <v>10.071942446043163</v>
      </c>
      <c r="K19" s="391">
        <f t="shared" si="4"/>
        <v>10.071942446043163</v>
      </c>
      <c r="L19" s="148">
        <f t="shared" si="4"/>
        <v>8.8422971741112111</v>
      </c>
      <c r="M19" s="148">
        <f t="shared" si="4"/>
        <v>8.4249084249084234</v>
      </c>
      <c r="N19" s="148">
        <f t="shared" si="4"/>
        <v>24.099662730088454</v>
      </c>
      <c r="O19" s="148">
        <f t="shared" si="4"/>
        <v>4.9429657794676807</v>
      </c>
      <c r="P19" s="148">
        <f t="shared" si="4"/>
        <v>24.33000223473006</v>
      </c>
    </row>
    <row r="20" spans="1:18" s="388" customFormat="1" ht="18" customHeight="1" x14ac:dyDescent="0.2">
      <c r="A20" s="382" t="s">
        <v>33</v>
      </c>
      <c r="B20" s="383" t="s">
        <v>61</v>
      </c>
      <c r="C20" s="384" t="s">
        <v>71</v>
      </c>
      <c r="D20" s="392">
        <v>31.334916495712729</v>
      </c>
      <c r="E20" s="386">
        <v>271.00325230000004</v>
      </c>
      <c r="F20" s="390">
        <v>21.441520664438002</v>
      </c>
      <c r="G20" s="389">
        <v>128.09317996975648</v>
      </c>
      <c r="H20" s="386">
        <v>21.186158319023999</v>
      </c>
      <c r="I20" s="386">
        <v>13.92963784723333</v>
      </c>
      <c r="J20" s="386">
        <v>14.009304577096001</v>
      </c>
      <c r="K20" s="386">
        <v>5.2063134788133336</v>
      </c>
      <c r="L20" s="390">
        <v>42.771864307657346</v>
      </c>
      <c r="M20" s="389">
        <v>35.868662949392004</v>
      </c>
      <c r="N20" s="390">
        <v>43.361602679000001</v>
      </c>
      <c r="O20" s="389">
        <v>167.76531710972549</v>
      </c>
      <c r="P20" s="387">
        <v>18.084667471666666</v>
      </c>
    </row>
    <row r="21" spans="1:18" ht="35.25" customHeight="1" x14ac:dyDescent="0.2">
      <c r="A21" s="26" t="s">
        <v>34</v>
      </c>
      <c r="B21" s="16" t="s">
        <v>62</v>
      </c>
      <c r="C21" s="15" t="s">
        <v>71</v>
      </c>
      <c r="D21" s="167">
        <v>2.4109171710460626</v>
      </c>
      <c r="E21" s="149">
        <v>8.9431073259000016</v>
      </c>
      <c r="F21" s="170">
        <v>0.78494969677133331</v>
      </c>
      <c r="G21" s="149">
        <v>3.971881549449813</v>
      </c>
      <c r="H21" s="170">
        <v>1.2368567003573332</v>
      </c>
      <c r="I21" s="149">
        <v>0.33974726456666665</v>
      </c>
      <c r="J21" s="170">
        <v>1.4110090940959998</v>
      </c>
      <c r="K21" s="149">
        <v>0.52437689714666658</v>
      </c>
      <c r="L21" s="170">
        <v>3.7820153489906669</v>
      </c>
      <c r="M21" s="149">
        <v>3.021902006725333</v>
      </c>
      <c r="N21" s="170">
        <v>10.45</v>
      </c>
      <c r="O21" s="149">
        <v>8.292582214549169</v>
      </c>
      <c r="P21" s="157">
        <v>4.4000000000000004</v>
      </c>
    </row>
    <row r="22" spans="1:18" ht="63.75" customHeight="1" x14ac:dyDescent="0.2">
      <c r="A22" s="27">
        <v>2</v>
      </c>
      <c r="B22" s="30" t="s">
        <v>63</v>
      </c>
      <c r="C22" s="24" t="s">
        <v>64</v>
      </c>
      <c r="D22" s="43">
        <v>1.5679159464140804</v>
      </c>
      <c r="E22" s="150">
        <v>3.2649694194185392</v>
      </c>
      <c r="F22" s="166">
        <v>1.9125726824294536</v>
      </c>
      <c r="G22" s="150">
        <v>3.9748353034198218</v>
      </c>
      <c r="H22" s="166" t="s">
        <v>137</v>
      </c>
      <c r="I22" s="150" t="s">
        <v>137</v>
      </c>
      <c r="J22" s="166" t="s">
        <v>137</v>
      </c>
      <c r="K22" s="150" t="s">
        <v>137</v>
      </c>
      <c r="L22" s="166" t="s">
        <v>137</v>
      </c>
      <c r="M22" s="150">
        <v>3.8467812136939656</v>
      </c>
      <c r="N22" s="166" t="s">
        <v>137</v>
      </c>
      <c r="O22" s="150">
        <v>0.7227524936845795</v>
      </c>
      <c r="P22" s="155" t="s">
        <v>137</v>
      </c>
    </row>
    <row r="23" spans="1:18" ht="49.5" customHeight="1" x14ac:dyDescent="0.2">
      <c r="A23" s="26" t="s">
        <v>36</v>
      </c>
      <c r="B23" s="16" t="s">
        <v>65</v>
      </c>
      <c r="C23" s="15" t="s">
        <v>72</v>
      </c>
      <c r="D23" s="167">
        <v>49.130515253181606</v>
      </c>
      <c r="E23" s="149">
        <v>884.817331322467</v>
      </c>
      <c r="F23" s="170">
        <v>41.008466692550748</v>
      </c>
      <c r="G23" s="149">
        <v>509.14929387109686</v>
      </c>
      <c r="H23" s="170" t="s">
        <v>137</v>
      </c>
      <c r="I23" s="149" t="s">
        <v>137</v>
      </c>
      <c r="J23" s="170" t="s">
        <v>137</v>
      </c>
      <c r="K23" s="149" t="s">
        <v>137</v>
      </c>
      <c r="L23" s="170" t="s">
        <v>137</v>
      </c>
      <c r="M23" s="149">
        <v>137.97889879404195</v>
      </c>
      <c r="N23" s="170" t="s">
        <v>137</v>
      </c>
      <c r="O23" s="149">
        <v>121.25280129483835</v>
      </c>
      <c r="P23" s="157" t="s">
        <v>137</v>
      </c>
    </row>
    <row r="24" spans="1:18" ht="17.25" customHeight="1" x14ac:dyDescent="0.2">
      <c r="A24" s="28" t="s">
        <v>55</v>
      </c>
      <c r="B24" s="29" t="s">
        <v>66</v>
      </c>
      <c r="C24" s="23" t="s">
        <v>71</v>
      </c>
      <c r="D24" s="168">
        <v>31.334916495712729</v>
      </c>
      <c r="E24" s="151">
        <v>271.00325230000004</v>
      </c>
      <c r="F24" s="171">
        <v>21.441520664438002</v>
      </c>
      <c r="G24" s="151">
        <v>128.09317996975648</v>
      </c>
      <c r="H24" s="171" t="s">
        <v>137</v>
      </c>
      <c r="I24" s="151" t="s">
        <v>137</v>
      </c>
      <c r="J24" s="171" t="s">
        <v>137</v>
      </c>
      <c r="K24" s="151" t="s">
        <v>137</v>
      </c>
      <c r="L24" s="171" t="s">
        <v>137</v>
      </c>
      <c r="M24" s="151">
        <v>35.868662949392004</v>
      </c>
      <c r="N24" s="171" t="s">
        <v>137</v>
      </c>
      <c r="O24" s="151">
        <v>167.76531710972549</v>
      </c>
      <c r="P24" s="173" t="s">
        <v>137</v>
      </c>
    </row>
  </sheetData>
  <mergeCells count="22">
    <mergeCell ref="A1:P1"/>
    <mergeCell ref="A2:A5"/>
    <mergeCell ref="B2:B5"/>
    <mergeCell ref="C2:C5"/>
    <mergeCell ref="D2:P2"/>
    <mergeCell ref="D3:D4"/>
    <mergeCell ref="E3:E4"/>
    <mergeCell ref="F3:F4"/>
    <mergeCell ref="G3:G4"/>
    <mergeCell ref="H3:H4"/>
    <mergeCell ref="O3:O4"/>
    <mergeCell ref="P3:P4"/>
    <mergeCell ref="B7:P7"/>
    <mergeCell ref="B14:P14"/>
    <mergeCell ref="B18:P18"/>
    <mergeCell ref="I3:I4"/>
    <mergeCell ref="J3:J4"/>
    <mergeCell ref="K3:K4"/>
    <mergeCell ref="L3:L4"/>
    <mergeCell ref="M3:M4"/>
    <mergeCell ref="N3:N4"/>
    <mergeCell ref="D5:P5"/>
  </mergeCells>
  <printOptions horizontalCentered="1"/>
  <pageMargins left="0.39370078740157483" right="0.39370078740157483" top="0.98425196850393704" bottom="0.39370078740157483" header="0.31496062992125984" footer="0.31496062992125984"/>
  <pageSetup paperSize="9" scale="50" orientation="landscape" r:id="rId1"/>
  <headerFooter alignWithMargins="0"/>
  <colBreaks count="1" manualBreakCount="1">
    <brk id="10" max="104857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R24"/>
  <sheetViews>
    <sheetView tabSelected="1" zoomScaleNormal="100" workbookViewId="0">
      <pane xSplit="3" ySplit="5" topLeftCell="D18" activePane="bottomRight" state="frozen"/>
      <selection activeCell="A17" sqref="A17"/>
      <selection pane="topRight" activeCell="A17" sqref="A17"/>
      <selection pane="bottomLeft" activeCell="A17" sqref="A17"/>
      <selection pane="bottomRight" activeCell="L28" sqref="L28"/>
    </sheetView>
  </sheetViews>
  <sheetFormatPr defaultColWidth="9.140625" defaultRowHeight="12.75" x14ac:dyDescent="0.2"/>
  <cols>
    <col min="1" max="1" width="5.140625" style="8" customWidth="1"/>
    <col min="2" max="2" width="55.42578125" style="8" customWidth="1"/>
    <col min="3" max="3" width="10.140625" style="8" customWidth="1"/>
    <col min="4" max="4" width="9.42578125" style="8" customWidth="1"/>
    <col min="5" max="5" width="10.140625" style="8" customWidth="1"/>
    <col min="6" max="6" width="11.5703125" style="8" customWidth="1"/>
    <col min="7" max="7" width="13" style="8" customWidth="1"/>
    <col min="8" max="8" width="15.5703125" style="8" customWidth="1"/>
    <col min="9" max="12" width="8.7109375" style="8" customWidth="1"/>
    <col min="13" max="13" width="10.140625" style="8" customWidth="1"/>
    <col min="14" max="14" width="8.85546875" style="8" customWidth="1"/>
    <col min="15" max="15" width="10.5703125" style="8" customWidth="1"/>
    <col min="16" max="16" width="8.7109375" style="8" customWidth="1"/>
    <col min="17" max="17" width="7.28515625" style="8" customWidth="1"/>
    <col min="18" max="16384" width="9.140625" style="8"/>
  </cols>
  <sheetData>
    <row r="1" spans="1:16" s="1" customFormat="1" ht="21" customHeight="1" x14ac:dyDescent="0.25">
      <c r="A1" s="419" t="s">
        <v>207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</row>
    <row r="2" spans="1:16" ht="16.5" customHeight="1" x14ac:dyDescent="0.2">
      <c r="A2" s="497" t="s">
        <v>29</v>
      </c>
      <c r="B2" s="497" t="s">
        <v>2</v>
      </c>
      <c r="C2" s="497" t="s">
        <v>30</v>
      </c>
      <c r="D2" s="502" t="s">
        <v>70</v>
      </c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4"/>
    </row>
    <row r="3" spans="1:16" ht="21" customHeight="1" x14ac:dyDescent="0.2">
      <c r="A3" s="498"/>
      <c r="B3" s="498"/>
      <c r="C3" s="498"/>
      <c r="D3" s="505" t="s">
        <v>11</v>
      </c>
      <c r="E3" s="505" t="s">
        <v>12</v>
      </c>
      <c r="F3" s="505" t="s">
        <v>13</v>
      </c>
      <c r="G3" s="505" t="s">
        <v>14</v>
      </c>
      <c r="H3" s="505" t="s">
        <v>15</v>
      </c>
      <c r="I3" s="505" t="s">
        <v>16</v>
      </c>
      <c r="J3" s="505" t="s">
        <v>17</v>
      </c>
      <c r="K3" s="505" t="s">
        <v>18</v>
      </c>
      <c r="L3" s="505" t="s">
        <v>19</v>
      </c>
      <c r="M3" s="505" t="s">
        <v>20</v>
      </c>
      <c r="N3" s="505" t="s">
        <v>21</v>
      </c>
      <c r="O3" s="505" t="s">
        <v>22</v>
      </c>
      <c r="P3" s="500" t="s">
        <v>23</v>
      </c>
    </row>
    <row r="4" spans="1:16" x14ac:dyDescent="0.2">
      <c r="A4" s="498"/>
      <c r="B4" s="498"/>
      <c r="C4" s="498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1"/>
    </row>
    <row r="5" spans="1:16" ht="15.75" customHeight="1" x14ac:dyDescent="0.2">
      <c r="A5" s="499"/>
      <c r="B5" s="499"/>
      <c r="C5" s="499"/>
      <c r="D5" s="510" t="s">
        <v>156</v>
      </c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2"/>
    </row>
    <row r="6" spans="1:16" x14ac:dyDescent="0.2">
      <c r="A6" s="131">
        <v>1</v>
      </c>
      <c r="B6" s="9">
        <f>A6+1</f>
        <v>2</v>
      </c>
      <c r="C6" s="9">
        <f t="shared" ref="C6:P6" si="0">B6+1</f>
        <v>3</v>
      </c>
      <c r="D6" s="9">
        <f t="shared" si="0"/>
        <v>4</v>
      </c>
      <c r="E6" s="9">
        <f t="shared" si="0"/>
        <v>5</v>
      </c>
      <c r="F6" s="9">
        <f t="shared" si="0"/>
        <v>6</v>
      </c>
      <c r="G6" s="9">
        <f t="shared" si="0"/>
        <v>7</v>
      </c>
      <c r="H6" s="9">
        <f t="shared" si="0"/>
        <v>8</v>
      </c>
      <c r="I6" s="9">
        <f t="shared" si="0"/>
        <v>9</v>
      </c>
      <c r="J6" s="9">
        <f t="shared" si="0"/>
        <v>10</v>
      </c>
      <c r="K6" s="9">
        <f t="shared" si="0"/>
        <v>11</v>
      </c>
      <c r="L6" s="9">
        <f t="shared" si="0"/>
        <v>12</v>
      </c>
      <c r="M6" s="9">
        <f t="shared" si="0"/>
        <v>13</v>
      </c>
      <c r="N6" s="9">
        <f t="shared" si="0"/>
        <v>14</v>
      </c>
      <c r="O6" s="9">
        <f t="shared" si="0"/>
        <v>15</v>
      </c>
      <c r="P6" s="9">
        <f t="shared" si="0"/>
        <v>16</v>
      </c>
    </row>
    <row r="7" spans="1:16" ht="15.75" x14ac:dyDescent="0.2">
      <c r="A7" s="10" t="s">
        <v>67</v>
      </c>
      <c r="B7" s="408" t="s">
        <v>32</v>
      </c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10"/>
    </row>
    <row r="8" spans="1:16" ht="112.5" customHeight="1" x14ac:dyDescent="0.2">
      <c r="A8" s="14">
        <v>1</v>
      </c>
      <c r="B8" s="152" t="s">
        <v>49</v>
      </c>
      <c r="C8" s="22" t="s">
        <v>4</v>
      </c>
      <c r="D8" s="158">
        <f>D9/D10*100</f>
        <v>0</v>
      </c>
      <c r="E8" s="144">
        <f t="shared" ref="E8:P8" si="1">E9/E10*100</f>
        <v>0</v>
      </c>
      <c r="F8" s="162">
        <f t="shared" si="1"/>
        <v>0</v>
      </c>
      <c r="G8" s="144">
        <f t="shared" si="1"/>
        <v>0</v>
      </c>
      <c r="H8" s="162">
        <f t="shared" si="1"/>
        <v>0</v>
      </c>
      <c r="I8" s="144">
        <f t="shared" si="1"/>
        <v>0</v>
      </c>
      <c r="J8" s="162">
        <f t="shared" si="1"/>
        <v>0</v>
      </c>
      <c r="K8" s="144">
        <f t="shared" si="1"/>
        <v>0</v>
      </c>
      <c r="L8" s="162">
        <f t="shared" si="1"/>
        <v>0</v>
      </c>
      <c r="M8" s="144">
        <f t="shared" si="1"/>
        <v>0</v>
      </c>
      <c r="N8" s="162">
        <f t="shared" si="1"/>
        <v>0</v>
      </c>
      <c r="O8" s="144">
        <f t="shared" si="1"/>
        <v>0</v>
      </c>
      <c r="P8" s="163">
        <f t="shared" si="1"/>
        <v>0</v>
      </c>
    </row>
    <row r="9" spans="1:16" ht="51" customHeight="1" x14ac:dyDescent="0.2">
      <c r="A9" s="18" t="s">
        <v>33</v>
      </c>
      <c r="B9" s="16" t="s">
        <v>50</v>
      </c>
      <c r="C9" s="15" t="s">
        <v>51</v>
      </c>
      <c r="D9" s="159">
        <v>0</v>
      </c>
      <c r="E9" s="145">
        <v>0</v>
      </c>
      <c r="F9" s="41">
        <v>0</v>
      </c>
      <c r="G9" s="145">
        <v>0</v>
      </c>
      <c r="H9" s="41">
        <v>0</v>
      </c>
      <c r="I9" s="145">
        <v>0</v>
      </c>
      <c r="J9" s="41">
        <v>0</v>
      </c>
      <c r="K9" s="145">
        <v>0</v>
      </c>
      <c r="L9" s="41">
        <v>0</v>
      </c>
      <c r="M9" s="145">
        <v>0</v>
      </c>
      <c r="N9" s="41">
        <v>0</v>
      </c>
      <c r="O9" s="145">
        <v>0</v>
      </c>
      <c r="P9" s="45">
        <v>0</v>
      </c>
    </row>
    <row r="10" spans="1:16" ht="20.25" customHeight="1" x14ac:dyDescent="0.2">
      <c r="A10" s="18" t="s">
        <v>34</v>
      </c>
      <c r="B10" s="19" t="s">
        <v>52</v>
      </c>
      <c r="C10" s="15" t="s">
        <v>51</v>
      </c>
      <c r="D10" s="160">
        <v>24</v>
      </c>
      <c r="E10" s="145">
        <v>16</v>
      </c>
      <c r="F10" s="41">
        <v>32</v>
      </c>
      <c r="G10" s="145">
        <v>40</v>
      </c>
      <c r="H10" s="41">
        <v>16</v>
      </c>
      <c r="I10" s="145">
        <v>32</v>
      </c>
      <c r="J10" s="41">
        <v>20</v>
      </c>
      <c r="K10" s="145">
        <v>16</v>
      </c>
      <c r="L10" s="41">
        <v>16</v>
      </c>
      <c r="M10" s="145">
        <v>16</v>
      </c>
      <c r="N10" s="41">
        <v>32</v>
      </c>
      <c r="O10" s="145">
        <v>40</v>
      </c>
      <c r="P10" s="45">
        <v>16</v>
      </c>
    </row>
    <row r="11" spans="1:16" ht="81" customHeight="1" x14ac:dyDescent="0.2">
      <c r="A11" s="18" t="s">
        <v>53</v>
      </c>
      <c r="B11" s="19" t="s">
        <v>40</v>
      </c>
      <c r="C11" s="15" t="s">
        <v>4</v>
      </c>
      <c r="D11" s="159">
        <f>D12/D13*100</f>
        <v>0</v>
      </c>
      <c r="E11" s="145">
        <f t="shared" ref="E11:P11" si="2">E12/E13*100</f>
        <v>0</v>
      </c>
      <c r="F11" s="41">
        <f t="shared" si="2"/>
        <v>0</v>
      </c>
      <c r="G11" s="145">
        <f t="shared" si="2"/>
        <v>0</v>
      </c>
      <c r="H11" s="41">
        <f t="shared" si="2"/>
        <v>0</v>
      </c>
      <c r="I11" s="145">
        <f t="shared" si="2"/>
        <v>0</v>
      </c>
      <c r="J11" s="41">
        <f t="shared" si="2"/>
        <v>0</v>
      </c>
      <c r="K11" s="145">
        <f t="shared" si="2"/>
        <v>0</v>
      </c>
      <c r="L11" s="41">
        <f t="shared" si="2"/>
        <v>0</v>
      </c>
      <c r="M11" s="145">
        <f t="shared" si="2"/>
        <v>0</v>
      </c>
      <c r="N11" s="41">
        <f t="shared" si="2"/>
        <v>0</v>
      </c>
      <c r="O11" s="145">
        <f t="shared" si="2"/>
        <v>0</v>
      </c>
      <c r="P11" s="145">
        <f t="shared" si="2"/>
        <v>0</v>
      </c>
    </row>
    <row r="12" spans="1:16" ht="65.25" customHeight="1" x14ac:dyDescent="0.2">
      <c r="A12" s="18" t="s">
        <v>36</v>
      </c>
      <c r="B12" s="20" t="s">
        <v>54</v>
      </c>
      <c r="C12" s="15" t="s">
        <v>51</v>
      </c>
      <c r="D12" s="159">
        <v>0</v>
      </c>
      <c r="E12" s="145">
        <v>0</v>
      </c>
      <c r="F12" s="41">
        <v>0</v>
      </c>
      <c r="G12" s="145">
        <v>0</v>
      </c>
      <c r="H12" s="41">
        <v>0</v>
      </c>
      <c r="I12" s="145">
        <v>0</v>
      </c>
      <c r="J12" s="41">
        <v>0</v>
      </c>
      <c r="K12" s="145">
        <v>0</v>
      </c>
      <c r="L12" s="41">
        <v>0</v>
      </c>
      <c r="M12" s="145">
        <v>0</v>
      </c>
      <c r="N12" s="41">
        <v>0</v>
      </c>
      <c r="O12" s="145">
        <v>0</v>
      </c>
      <c r="P12" s="145">
        <v>0</v>
      </c>
    </row>
    <row r="13" spans="1:16" ht="18" customHeight="1" x14ac:dyDescent="0.2">
      <c r="A13" s="17" t="s">
        <v>55</v>
      </c>
      <c r="B13" s="12" t="s">
        <v>52</v>
      </c>
      <c r="C13" s="13" t="s">
        <v>51</v>
      </c>
      <c r="D13" s="161">
        <v>24</v>
      </c>
      <c r="E13" s="146">
        <v>42</v>
      </c>
      <c r="F13" s="42">
        <v>24</v>
      </c>
      <c r="G13" s="146">
        <v>16</v>
      </c>
      <c r="H13" s="42">
        <v>16</v>
      </c>
      <c r="I13" s="146">
        <v>24</v>
      </c>
      <c r="J13" s="42">
        <v>20</v>
      </c>
      <c r="K13" s="146">
        <v>12</v>
      </c>
      <c r="L13" s="42">
        <v>12</v>
      </c>
      <c r="M13" s="146">
        <v>48</v>
      </c>
      <c r="N13" s="42">
        <v>60</v>
      </c>
      <c r="O13" s="146">
        <v>120</v>
      </c>
      <c r="P13" s="46">
        <v>24</v>
      </c>
    </row>
    <row r="14" spans="1:16" ht="17.25" customHeight="1" x14ac:dyDescent="0.2">
      <c r="A14" s="11" t="s">
        <v>68</v>
      </c>
      <c r="B14" s="513" t="s">
        <v>35</v>
      </c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5"/>
    </row>
    <row r="15" spans="1:16" ht="31.5" customHeight="1" x14ac:dyDescent="0.2">
      <c r="A15" s="14">
        <v>1</v>
      </c>
      <c r="B15" s="153" t="s">
        <v>56</v>
      </c>
      <c r="C15" s="22" t="s">
        <v>37</v>
      </c>
      <c r="D15" s="158">
        <f>D16/D17</f>
        <v>0</v>
      </c>
      <c r="E15" s="144">
        <f>E16/E17</f>
        <v>0</v>
      </c>
      <c r="F15" s="162">
        <f t="shared" ref="F15:P15" si="3">F16/F17</f>
        <v>0</v>
      </c>
      <c r="G15" s="144">
        <f t="shared" si="3"/>
        <v>0</v>
      </c>
      <c r="H15" s="162">
        <f t="shared" si="3"/>
        <v>0</v>
      </c>
      <c r="I15" s="144">
        <f t="shared" si="3"/>
        <v>0</v>
      </c>
      <c r="J15" s="162">
        <f t="shared" si="3"/>
        <v>0</v>
      </c>
      <c r="K15" s="144">
        <f t="shared" si="3"/>
        <v>0</v>
      </c>
      <c r="L15" s="162">
        <f t="shared" si="3"/>
        <v>0</v>
      </c>
      <c r="M15" s="144">
        <f t="shared" si="3"/>
        <v>0</v>
      </c>
      <c r="N15" s="162">
        <f t="shared" si="3"/>
        <v>0</v>
      </c>
      <c r="O15" s="144">
        <f t="shared" si="3"/>
        <v>0</v>
      </c>
      <c r="P15" s="163">
        <f t="shared" si="3"/>
        <v>0</v>
      </c>
    </row>
    <row r="16" spans="1:16" ht="219.75" customHeight="1" x14ac:dyDescent="0.2">
      <c r="A16" s="18" t="s">
        <v>33</v>
      </c>
      <c r="B16" s="19" t="s">
        <v>57</v>
      </c>
      <c r="C16" s="15" t="s">
        <v>51</v>
      </c>
      <c r="D16" s="159">
        <v>0</v>
      </c>
      <c r="E16" s="145">
        <v>0</v>
      </c>
      <c r="F16" s="41">
        <v>0</v>
      </c>
      <c r="G16" s="145">
        <v>0</v>
      </c>
      <c r="H16" s="41">
        <v>0</v>
      </c>
      <c r="I16" s="145">
        <v>0</v>
      </c>
      <c r="J16" s="41">
        <v>0</v>
      </c>
      <c r="K16" s="145">
        <v>0</v>
      </c>
      <c r="L16" s="41">
        <v>0</v>
      </c>
      <c r="M16" s="145">
        <v>0</v>
      </c>
      <c r="N16" s="41">
        <v>0</v>
      </c>
      <c r="O16" s="145">
        <v>0</v>
      </c>
      <c r="P16" s="45">
        <v>0</v>
      </c>
    </row>
    <row r="17" spans="1:18" ht="20.25" customHeight="1" x14ac:dyDescent="0.2">
      <c r="A17" s="17" t="s">
        <v>34</v>
      </c>
      <c r="B17" s="154" t="s">
        <v>58</v>
      </c>
      <c r="C17" s="24" t="s">
        <v>59</v>
      </c>
      <c r="D17" s="164">
        <v>5.4377000000000004</v>
      </c>
      <c r="E17" s="165">
        <f>(46.887-12.872)*0+34.264</f>
        <v>34.264000000000003</v>
      </c>
      <c r="F17" s="166">
        <v>1.7110000000000001</v>
      </c>
      <c r="G17" s="147">
        <v>5.45</v>
      </c>
      <c r="H17" s="166">
        <v>8.5090000000000003</v>
      </c>
      <c r="I17" s="147">
        <v>2.8695000000000004</v>
      </c>
      <c r="J17" s="166">
        <v>3.0844999999999998</v>
      </c>
      <c r="K17" s="147">
        <v>2.8849999999999998</v>
      </c>
      <c r="L17" s="166">
        <v>8.2804000000000002</v>
      </c>
      <c r="M17" s="147">
        <v>3.5790000000000002</v>
      </c>
      <c r="N17" s="166">
        <v>4.2149999999999999</v>
      </c>
      <c r="O17" s="147">
        <v>16.206199999999999</v>
      </c>
      <c r="P17" s="155">
        <v>5.2149999999999999</v>
      </c>
      <c r="R17" s="127"/>
    </row>
    <row r="18" spans="1:18" ht="15.75" customHeight="1" x14ac:dyDescent="0.2">
      <c r="A18" s="11" t="s">
        <v>69</v>
      </c>
      <c r="B18" s="513" t="s">
        <v>38</v>
      </c>
      <c r="C18" s="514"/>
      <c r="D18" s="514"/>
      <c r="E18" s="514"/>
      <c r="F18" s="514"/>
      <c r="G18" s="514"/>
      <c r="H18" s="514"/>
      <c r="I18" s="514"/>
      <c r="J18" s="514"/>
      <c r="K18" s="514"/>
      <c r="L18" s="514"/>
      <c r="M18" s="514"/>
      <c r="N18" s="514"/>
      <c r="O18" s="514"/>
      <c r="P18" s="515"/>
    </row>
    <row r="19" spans="1:18" ht="51.75" customHeight="1" x14ac:dyDescent="0.2">
      <c r="A19" s="25">
        <v>1</v>
      </c>
      <c r="B19" s="156" t="s">
        <v>60</v>
      </c>
      <c r="C19" s="405" t="s">
        <v>4</v>
      </c>
      <c r="D19" s="411">
        <f>'[7]Долг парам'!$F$18</f>
        <v>7.6509986319012722</v>
      </c>
      <c r="E19" s="412">
        <f>E21/E20*100</f>
        <v>3.3467009977826159</v>
      </c>
      <c r="F19" s="413">
        <f t="shared" ref="F19:P19" si="4">F21/F20*100</f>
        <v>3.754982293021504</v>
      </c>
      <c r="G19" s="414">
        <f t="shared" si="4"/>
        <v>3.1700738742323065</v>
      </c>
      <c r="H19" s="412">
        <f t="shared" si="4"/>
        <v>6.1857664779810921</v>
      </c>
      <c r="I19" s="414">
        <f t="shared" si="4"/>
        <v>2.4751142016130445</v>
      </c>
      <c r="J19" s="414">
        <f t="shared" si="4"/>
        <v>11.200009206369844</v>
      </c>
      <c r="K19" s="412">
        <f t="shared" si="4"/>
        <v>17.607999999999997</v>
      </c>
      <c r="L19" s="413">
        <f t="shared" si="4"/>
        <v>9.7319999999999975</v>
      </c>
      <c r="M19" s="414">
        <f t="shared" si="4"/>
        <v>9.2260000929047408</v>
      </c>
      <c r="N19" s="414">
        <f t="shared" si="4"/>
        <v>25.093526332817572</v>
      </c>
      <c r="O19" s="414">
        <f t="shared" si="4"/>
        <v>5.1677191788855916</v>
      </c>
      <c r="P19" s="412">
        <f t="shared" si="4"/>
        <v>24.298174470226598</v>
      </c>
      <c r="Q19" s="404"/>
    </row>
    <row r="20" spans="1:18" s="388" customFormat="1" ht="18" customHeight="1" x14ac:dyDescent="0.2">
      <c r="A20" s="382" t="s">
        <v>33</v>
      </c>
      <c r="B20" s="383" t="s">
        <v>61</v>
      </c>
      <c r="C20" s="384" t="s">
        <v>71</v>
      </c>
      <c r="D20" s="385">
        <f>SUMIF([7]ЭЭ!$F$1:$R$1,D3,[7]ЭЭ!$F$34:$R$34)/1000</f>
        <v>30.591488985998676</v>
      </c>
      <c r="E20" s="385">
        <f>SUMIF([7]ЭЭ!$F$1:$R$1,E3,[7]ЭЭ!$F$34:$R$34)/1000</f>
        <v>279.2302033014484</v>
      </c>
      <c r="F20" s="385">
        <f>SUMIF([7]ЭЭ!$F$1:$R$1,F3,[7]ЭЭ!$F$34:$R$34)/1000</f>
        <v>20.972106765308219</v>
      </c>
      <c r="G20" s="385">
        <f>SUMIF([7]ЭЭ!$F$1:$R$1,G3,[7]ЭЭ!$F$34:$R$34)/1000</f>
        <v>132.70984106068522</v>
      </c>
      <c r="H20" s="392">
        <f>[7]ЭЭ!$N$34/1000</f>
        <v>20.902825940852665</v>
      </c>
      <c r="I20" s="385">
        <f>SUMIF([7]ЭЭ!$F$1:$R$1,I3,[7]ЭЭ!$F$34:$R$34)/1000</f>
        <v>14.371054061593947</v>
      </c>
      <c r="J20" s="385">
        <f>SUMIF([7]ЭЭ!$F$1:$R$1,J3,[7]ЭЭ!$F$34:$R$34)/1000</f>
        <v>14.18302405587813</v>
      </c>
      <c r="K20" s="385">
        <f>SUMIF([7]ЭЭ!$F$1:$R$1,K3,[7]ЭЭ!$F$34:$R$34)/1000</f>
        <v>5.9714351468444447</v>
      </c>
      <c r="L20" s="385">
        <f>SUMIF([7]ЭЭ!$F$1:$R$1,L3,[7]ЭЭ!$F$34:$R$34)/1000</f>
        <v>42.98479097421842</v>
      </c>
      <c r="M20" s="385">
        <f>[7]ЭЭ!$I$34/1000</f>
        <v>37.558921438078002</v>
      </c>
      <c r="N20" s="385">
        <f>[7]ЭЭ!$Q$34/1000</f>
        <v>44.258426865559578</v>
      </c>
      <c r="O20" s="385">
        <f>SUMIF([7]ЭЭ!$F$1:$R$1,O3,[7]ЭЭ!$F$34:$R$34)/1000</f>
        <v>171.48764654644165</v>
      </c>
      <c r="P20" s="392">
        <f>SUMIF([7]ЭЭ!$F$1:$R$1,P3,[7]ЭЭ!$F$34:$R$34)/1000</f>
        <v>17.434231551801407</v>
      </c>
    </row>
    <row r="21" spans="1:18" ht="35.25" customHeight="1" x14ac:dyDescent="0.2">
      <c r="A21" s="26" t="s">
        <v>34</v>
      </c>
      <c r="B21" s="16" t="s">
        <v>62</v>
      </c>
      <c r="C21" s="15" t="s">
        <v>71</v>
      </c>
      <c r="D21" s="167">
        <f>'раздел 2 2023'!F14/1000</f>
        <v>2.340554403796987</v>
      </c>
      <c r="E21" s="149">
        <f>'раздел 2 2023'!I14/1000</f>
        <v>9.3450000000000006</v>
      </c>
      <c r="F21" s="170">
        <f>'раздел 2 2023'!L14/1000</f>
        <v>0.78749889551088859</v>
      </c>
      <c r="G21" s="516">
        <f>'раздел 2 2023'!O14/1000</f>
        <v>4.2069999999999999</v>
      </c>
      <c r="H21" s="149">
        <f>'раздел 2 2023'!R14/1000</f>
        <v>1.2929999999999999</v>
      </c>
      <c r="I21" s="149">
        <f>'раздел 2 2023'!U14/1000</f>
        <v>0.35570000000000002</v>
      </c>
      <c r="J21" s="170">
        <f>'раздел 2 2023'!X14/1000</f>
        <v>1.5885</v>
      </c>
      <c r="K21" s="149">
        <f>'раздел 2 2023'!AA14/1000</f>
        <v>1.0514503006563696</v>
      </c>
      <c r="L21" s="149">
        <f>'раздел 2 2023'!AD14/1000</f>
        <v>4.1832798576109358</v>
      </c>
      <c r="M21" s="170">
        <f>'раздел 2 2023'!AG14/1000</f>
        <v>3.4651861267710951</v>
      </c>
      <c r="N21" s="149">
        <f>'раздел 2 2023'!AJ14/1000</f>
        <v>11.106</v>
      </c>
      <c r="O21" s="170">
        <f>'раздел 2 2023'!AM14/1000</f>
        <v>8.8620000000000001</v>
      </c>
      <c r="P21" s="149">
        <f>'раздел 2 2023'!AP14/1000</f>
        <v>4.2362000000000002</v>
      </c>
    </row>
    <row r="22" spans="1:18" ht="63.75" customHeight="1" x14ac:dyDescent="0.2">
      <c r="A22" s="27">
        <v>2</v>
      </c>
      <c r="B22" s="30" t="s">
        <v>63</v>
      </c>
      <c r="C22" s="24" t="s">
        <v>64</v>
      </c>
      <c r="D22" s="43">
        <v>1.5679159464140804</v>
      </c>
      <c r="E22" s="150">
        <v>3.2649694194185392</v>
      </c>
      <c r="F22" s="166">
        <v>1.9125726824294536</v>
      </c>
      <c r="G22" s="517">
        <v>3.9748353034198201</v>
      </c>
      <c r="H22" s="150" t="s">
        <v>137</v>
      </c>
      <c r="I22" s="150" t="s">
        <v>137</v>
      </c>
      <c r="J22" s="166" t="s">
        <v>137</v>
      </c>
      <c r="K22" s="150" t="s">
        <v>137</v>
      </c>
      <c r="L22" s="150" t="s">
        <v>137</v>
      </c>
      <c r="M22" s="166">
        <v>3.8467812136939656</v>
      </c>
      <c r="N22" s="150" t="s">
        <v>137</v>
      </c>
      <c r="O22" s="166">
        <v>0.7227524936845795</v>
      </c>
      <c r="P22" s="150" t="s">
        <v>137</v>
      </c>
    </row>
    <row r="23" spans="1:18" ht="49.5" customHeight="1" x14ac:dyDescent="0.2">
      <c r="A23" s="26" t="s">
        <v>36</v>
      </c>
      <c r="B23" s="16" t="s">
        <v>65</v>
      </c>
      <c r="C23" s="15" t="s">
        <v>72</v>
      </c>
      <c r="D23" s="167">
        <f>D24*D22</f>
        <v>47.964883405698032</v>
      </c>
      <c r="E23" s="167">
        <f t="shared" ref="E23:G23" si="5">E24*E22</f>
        <v>911.67807475725067</v>
      </c>
      <c r="F23" s="167">
        <f t="shared" si="5"/>
        <v>40.110678492322428</v>
      </c>
      <c r="G23" s="167">
        <f t="shared" si="5"/>
        <v>527.49976135924487</v>
      </c>
      <c r="H23" s="149" t="s">
        <v>137</v>
      </c>
      <c r="I23" s="149" t="s">
        <v>137</v>
      </c>
      <c r="J23" s="170" t="s">
        <v>137</v>
      </c>
      <c r="K23" s="149" t="s">
        <v>137</v>
      </c>
      <c r="L23" s="149" t="s">
        <v>137</v>
      </c>
      <c r="M23" s="167">
        <f t="shared" ref="M23:O23" si="6">M24*M22</f>
        <v>144.48095339460599</v>
      </c>
      <c r="N23" s="149" t="s">
        <v>137</v>
      </c>
      <c r="O23" s="170">
        <f t="shared" si="6"/>
        <v>123.94312417754047</v>
      </c>
      <c r="P23" s="149" t="s">
        <v>137</v>
      </c>
    </row>
    <row r="24" spans="1:18" ht="17.25" customHeight="1" x14ac:dyDescent="0.2">
      <c r="A24" s="28" t="s">
        <v>55</v>
      </c>
      <c r="B24" s="29" t="s">
        <v>66</v>
      </c>
      <c r="C24" s="23" t="s">
        <v>71</v>
      </c>
      <c r="D24" s="168">
        <f>D20</f>
        <v>30.591488985998676</v>
      </c>
      <c r="E24" s="168">
        <f t="shared" ref="E24:G24" si="7">E20</f>
        <v>279.2302033014484</v>
      </c>
      <c r="F24" s="168">
        <f t="shared" si="7"/>
        <v>20.972106765308219</v>
      </c>
      <c r="G24" s="168">
        <f t="shared" si="7"/>
        <v>132.70984106068522</v>
      </c>
      <c r="H24" s="407" t="s">
        <v>137</v>
      </c>
      <c r="I24" s="151" t="s">
        <v>137</v>
      </c>
      <c r="J24" s="171" t="s">
        <v>137</v>
      </c>
      <c r="K24" s="151" t="s">
        <v>137</v>
      </c>
      <c r="L24" s="151" t="s">
        <v>137</v>
      </c>
      <c r="M24" s="406">
        <f t="shared" ref="M24" si="8">M20</f>
        <v>37.558921438078002</v>
      </c>
      <c r="N24" s="407" t="s">
        <v>137</v>
      </c>
      <c r="O24" s="406">
        <f t="shared" ref="O24" si="9">O20</f>
        <v>171.48764654644165</v>
      </c>
      <c r="P24" s="407" t="s">
        <v>137</v>
      </c>
    </row>
  </sheetData>
  <mergeCells count="21">
    <mergeCell ref="A1:P1"/>
    <mergeCell ref="A2:A5"/>
    <mergeCell ref="B2:B5"/>
    <mergeCell ref="C2:C5"/>
    <mergeCell ref="D2:P2"/>
    <mergeCell ref="D3:D4"/>
    <mergeCell ref="E3:E4"/>
    <mergeCell ref="F3:F4"/>
    <mergeCell ref="G3:G4"/>
    <mergeCell ref="H3:H4"/>
    <mergeCell ref="O3:O4"/>
    <mergeCell ref="P3:P4"/>
    <mergeCell ref="B14:P14"/>
    <mergeCell ref="B18:P18"/>
    <mergeCell ref="I3:I4"/>
    <mergeCell ref="J3:J4"/>
    <mergeCell ref="K3:K4"/>
    <mergeCell ref="L3:L4"/>
    <mergeCell ref="M3:M4"/>
    <mergeCell ref="N3:N4"/>
    <mergeCell ref="D5:P5"/>
  </mergeCells>
  <printOptions horizontalCentered="1"/>
  <pageMargins left="0.39370078740157483" right="0.39370078740157483" top="0.98425196850393704" bottom="0.39370078740157483" header="0.31496062992125984" footer="0.31496062992125984"/>
  <pageSetup paperSize="9" scale="50" orientation="landscape" r:id="rId1"/>
  <headerFooter alignWithMargins="0"/>
  <colBreaks count="1" manualBreakCount="1">
    <brk id="1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P48"/>
  <sheetViews>
    <sheetView zoomScaleNormal="100" workbookViewId="0">
      <pane xSplit="3" ySplit="7" topLeftCell="AA8" activePane="bottomRight" state="frozen"/>
      <selection activeCell="A17" sqref="A17"/>
      <selection pane="topRight" activeCell="A17" sqref="A17"/>
      <selection pane="bottomLeft" activeCell="A17" sqref="A17"/>
      <selection pane="bottomRight" activeCell="Q32" sqref="Q32:Q33"/>
    </sheetView>
  </sheetViews>
  <sheetFormatPr defaultColWidth="9.140625" defaultRowHeight="12.75" x14ac:dyDescent="0.2"/>
  <cols>
    <col min="1" max="1" width="6.7109375" style="105" customWidth="1"/>
    <col min="2" max="2" width="41" style="105" customWidth="1"/>
    <col min="3" max="3" width="10.7109375" style="105" customWidth="1"/>
    <col min="4" max="5" width="12.85546875" style="105" customWidth="1"/>
    <col min="6" max="6" width="10.7109375" style="105" customWidth="1"/>
    <col min="7" max="8" width="13.28515625" style="105" customWidth="1"/>
    <col min="9" max="9" width="13.42578125" style="105" customWidth="1"/>
    <col min="10" max="11" width="14" style="105" customWidth="1"/>
    <col min="12" max="12" width="11.7109375" style="105" customWidth="1"/>
    <col min="13" max="14" width="13.140625" style="105" customWidth="1"/>
    <col min="15" max="15" width="12.42578125" style="105" customWidth="1"/>
    <col min="16" max="17" width="14.42578125" style="105" customWidth="1"/>
    <col min="18" max="18" width="11.7109375" style="105" customWidth="1"/>
    <col min="19" max="20" width="13.28515625" style="105" customWidth="1"/>
    <col min="21" max="21" width="11.7109375" style="105" customWidth="1"/>
    <col min="22" max="23" width="13.5703125" style="105" customWidth="1"/>
    <col min="24" max="24" width="11.7109375" style="105" customWidth="1"/>
    <col min="25" max="25" width="14.140625" style="105" customWidth="1"/>
    <col min="26" max="26" width="13.28515625" style="105" customWidth="1"/>
    <col min="27" max="27" width="11.7109375" style="105" customWidth="1"/>
    <col min="28" max="29" width="13.5703125" style="105" customWidth="1"/>
    <col min="30" max="30" width="11.7109375" style="105" customWidth="1"/>
    <col min="31" max="32" width="13" style="105" customWidth="1"/>
    <col min="33" max="33" width="11.7109375" style="105" customWidth="1"/>
    <col min="34" max="35" width="14" style="105" customWidth="1"/>
    <col min="36" max="36" width="11.7109375" style="105" customWidth="1"/>
    <col min="37" max="38" width="13.140625" style="105" customWidth="1"/>
    <col min="39" max="39" width="11.7109375" style="105" customWidth="1"/>
    <col min="40" max="41" width="13.5703125" style="105" customWidth="1"/>
    <col min="42" max="42" width="11.7109375" style="105" customWidth="1"/>
    <col min="43" max="16384" width="9.140625" style="105"/>
  </cols>
  <sheetData>
    <row r="1" spans="1:42" s="47" customFormat="1" ht="18.75" x14ac:dyDescent="0.3">
      <c r="A1" s="445" t="s">
        <v>83</v>
      </c>
      <c r="B1" s="445"/>
      <c r="C1" s="445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</row>
    <row r="2" spans="1:42" s="47" customFormat="1" ht="18.75" x14ac:dyDescent="0.3">
      <c r="A2" s="447" t="s">
        <v>84</v>
      </c>
      <c r="B2" s="450" t="s">
        <v>85</v>
      </c>
      <c r="C2" s="450" t="s">
        <v>30</v>
      </c>
      <c r="D2" s="443" t="s">
        <v>206</v>
      </c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443"/>
      <c r="AO2" s="443"/>
      <c r="AP2" s="444"/>
    </row>
    <row r="3" spans="1:42" s="48" customFormat="1" ht="14.25" customHeight="1" x14ac:dyDescent="0.2">
      <c r="A3" s="448"/>
      <c r="B3" s="450"/>
      <c r="C3" s="450"/>
      <c r="D3" s="423" t="s">
        <v>125</v>
      </c>
      <c r="E3" s="424"/>
      <c r="F3" s="425"/>
      <c r="G3" s="426" t="s">
        <v>124</v>
      </c>
      <c r="H3" s="427"/>
      <c r="I3" s="428"/>
      <c r="J3" s="429" t="s">
        <v>126</v>
      </c>
      <c r="K3" s="430"/>
      <c r="L3" s="431"/>
      <c r="M3" s="432" t="s">
        <v>127</v>
      </c>
      <c r="N3" s="433"/>
      <c r="O3" s="434"/>
      <c r="P3" s="435" t="s">
        <v>128</v>
      </c>
      <c r="Q3" s="436"/>
      <c r="R3" s="437"/>
      <c r="S3" s="420" t="s">
        <v>129</v>
      </c>
      <c r="T3" s="421"/>
      <c r="U3" s="422"/>
      <c r="V3" s="420" t="s">
        <v>130</v>
      </c>
      <c r="W3" s="421"/>
      <c r="X3" s="422"/>
      <c r="Y3" s="420" t="s">
        <v>131</v>
      </c>
      <c r="Z3" s="421"/>
      <c r="AA3" s="422"/>
      <c r="AB3" s="420" t="s">
        <v>132</v>
      </c>
      <c r="AC3" s="421"/>
      <c r="AD3" s="422"/>
      <c r="AE3" s="420" t="s">
        <v>133</v>
      </c>
      <c r="AF3" s="421"/>
      <c r="AG3" s="422"/>
      <c r="AH3" s="420" t="s">
        <v>134</v>
      </c>
      <c r="AI3" s="421"/>
      <c r="AJ3" s="422"/>
      <c r="AK3" s="420" t="s">
        <v>135</v>
      </c>
      <c r="AL3" s="421"/>
      <c r="AM3" s="422"/>
      <c r="AN3" s="420" t="s">
        <v>136</v>
      </c>
      <c r="AO3" s="421"/>
      <c r="AP3" s="422"/>
    </row>
    <row r="4" spans="1:42" s="48" customFormat="1" ht="15" customHeight="1" x14ac:dyDescent="0.2">
      <c r="A4" s="448"/>
      <c r="B4" s="450"/>
      <c r="C4" s="450"/>
      <c r="D4" s="451" t="s">
        <v>140</v>
      </c>
      <c r="E4" s="451"/>
      <c r="F4" s="452"/>
      <c r="G4" s="453" t="s">
        <v>140</v>
      </c>
      <c r="H4" s="453"/>
      <c r="I4" s="454"/>
      <c r="J4" s="455" t="s">
        <v>140</v>
      </c>
      <c r="K4" s="455"/>
      <c r="L4" s="456"/>
      <c r="M4" s="457" t="s">
        <v>140</v>
      </c>
      <c r="N4" s="457"/>
      <c r="O4" s="458"/>
      <c r="P4" s="459" t="s">
        <v>140</v>
      </c>
      <c r="Q4" s="459"/>
      <c r="R4" s="460"/>
      <c r="S4" s="461" t="s">
        <v>140</v>
      </c>
      <c r="T4" s="438"/>
      <c r="U4" s="439"/>
      <c r="V4" s="438" t="s">
        <v>140</v>
      </c>
      <c r="W4" s="438"/>
      <c r="X4" s="439"/>
      <c r="Y4" s="438" t="s">
        <v>140</v>
      </c>
      <c r="Z4" s="438"/>
      <c r="AA4" s="439"/>
      <c r="AB4" s="438" t="s">
        <v>140</v>
      </c>
      <c r="AC4" s="438"/>
      <c r="AD4" s="439"/>
      <c r="AE4" s="438" t="s">
        <v>140</v>
      </c>
      <c r="AF4" s="438"/>
      <c r="AG4" s="439"/>
      <c r="AH4" s="438" t="s">
        <v>140</v>
      </c>
      <c r="AI4" s="438"/>
      <c r="AJ4" s="439"/>
      <c r="AK4" s="438" t="s">
        <v>140</v>
      </c>
      <c r="AL4" s="438"/>
      <c r="AM4" s="439"/>
      <c r="AN4" s="438" t="s">
        <v>140</v>
      </c>
      <c r="AO4" s="438"/>
      <c r="AP4" s="439"/>
    </row>
    <row r="5" spans="1:42" s="48" customFormat="1" ht="15" customHeight="1" x14ac:dyDescent="0.2">
      <c r="A5" s="448"/>
      <c r="B5" s="450"/>
      <c r="C5" s="450"/>
      <c r="D5" s="462" t="s">
        <v>82</v>
      </c>
      <c r="E5" s="463"/>
      <c r="F5" s="464"/>
      <c r="G5" s="465" t="s">
        <v>82</v>
      </c>
      <c r="H5" s="466"/>
      <c r="I5" s="467"/>
      <c r="J5" s="468" t="s">
        <v>82</v>
      </c>
      <c r="K5" s="469"/>
      <c r="L5" s="470"/>
      <c r="M5" s="471" t="s">
        <v>82</v>
      </c>
      <c r="N5" s="472"/>
      <c r="O5" s="473"/>
      <c r="P5" s="474" t="s">
        <v>82</v>
      </c>
      <c r="Q5" s="475"/>
      <c r="R5" s="476"/>
      <c r="S5" s="440" t="s">
        <v>82</v>
      </c>
      <c r="T5" s="441"/>
      <c r="U5" s="442"/>
      <c r="V5" s="440" t="s">
        <v>82</v>
      </c>
      <c r="W5" s="441"/>
      <c r="X5" s="442"/>
      <c r="Y5" s="440" t="s">
        <v>82</v>
      </c>
      <c r="Z5" s="441"/>
      <c r="AA5" s="442"/>
      <c r="AB5" s="440" t="s">
        <v>82</v>
      </c>
      <c r="AC5" s="441"/>
      <c r="AD5" s="442"/>
      <c r="AE5" s="440" t="s">
        <v>82</v>
      </c>
      <c r="AF5" s="441"/>
      <c r="AG5" s="442"/>
      <c r="AH5" s="440" t="s">
        <v>82</v>
      </c>
      <c r="AI5" s="441"/>
      <c r="AJ5" s="442"/>
      <c r="AK5" s="440" t="s">
        <v>82</v>
      </c>
      <c r="AL5" s="441"/>
      <c r="AM5" s="442"/>
      <c r="AN5" s="440" t="s">
        <v>82</v>
      </c>
      <c r="AO5" s="441"/>
      <c r="AP5" s="442"/>
    </row>
    <row r="6" spans="1:42" s="48" customFormat="1" ht="15" x14ac:dyDescent="0.2">
      <c r="A6" s="449"/>
      <c r="B6" s="450"/>
      <c r="C6" s="450"/>
      <c r="D6" s="49" t="s">
        <v>87</v>
      </c>
      <c r="E6" s="49" t="s">
        <v>88</v>
      </c>
      <c r="F6" s="49" t="s">
        <v>86</v>
      </c>
      <c r="G6" s="50" t="s">
        <v>87</v>
      </c>
      <c r="H6" s="50" t="s">
        <v>88</v>
      </c>
      <c r="I6" s="50" t="s">
        <v>86</v>
      </c>
      <c r="J6" s="51" t="s">
        <v>87</v>
      </c>
      <c r="K6" s="51" t="s">
        <v>88</v>
      </c>
      <c r="L6" s="51" t="s">
        <v>86</v>
      </c>
      <c r="M6" s="52" t="s">
        <v>87</v>
      </c>
      <c r="N6" s="52" t="s">
        <v>88</v>
      </c>
      <c r="O6" s="52" t="s">
        <v>86</v>
      </c>
      <c r="P6" s="53" t="s">
        <v>87</v>
      </c>
      <c r="Q6" s="53" t="s">
        <v>88</v>
      </c>
      <c r="R6" s="53" t="s">
        <v>86</v>
      </c>
      <c r="S6" s="54" t="s">
        <v>87</v>
      </c>
      <c r="T6" s="54" t="s">
        <v>88</v>
      </c>
      <c r="U6" s="54" t="s">
        <v>86</v>
      </c>
      <c r="V6" s="54" t="s">
        <v>87</v>
      </c>
      <c r="W6" s="54" t="s">
        <v>88</v>
      </c>
      <c r="X6" s="54" t="s">
        <v>86</v>
      </c>
      <c r="Y6" s="54" t="s">
        <v>87</v>
      </c>
      <c r="Z6" s="54" t="s">
        <v>88</v>
      </c>
      <c r="AA6" s="54" t="s">
        <v>86</v>
      </c>
      <c r="AB6" s="54" t="s">
        <v>87</v>
      </c>
      <c r="AC6" s="54" t="s">
        <v>88</v>
      </c>
      <c r="AD6" s="54" t="s">
        <v>86</v>
      </c>
      <c r="AE6" s="54" t="s">
        <v>87</v>
      </c>
      <c r="AF6" s="54" t="s">
        <v>88</v>
      </c>
      <c r="AG6" s="54" t="s">
        <v>86</v>
      </c>
      <c r="AH6" s="54" t="s">
        <v>87</v>
      </c>
      <c r="AI6" s="54" t="s">
        <v>88</v>
      </c>
      <c r="AJ6" s="54" t="s">
        <v>86</v>
      </c>
      <c r="AK6" s="54" t="s">
        <v>87</v>
      </c>
      <c r="AL6" s="54" t="s">
        <v>88</v>
      </c>
      <c r="AM6" s="54" t="s">
        <v>86</v>
      </c>
      <c r="AN6" s="54" t="s">
        <v>87</v>
      </c>
      <c r="AO6" s="54" t="s">
        <v>88</v>
      </c>
      <c r="AP6" s="54" t="s">
        <v>86</v>
      </c>
    </row>
    <row r="7" spans="1:42" s="55" customFormat="1" ht="15" x14ac:dyDescent="0.2">
      <c r="A7" s="174">
        <v>1</v>
      </c>
      <c r="B7" s="174">
        <f>A7+1</f>
        <v>2</v>
      </c>
      <c r="C7" s="174">
        <f t="shared" ref="C7:I7" si="0">B7+1</f>
        <v>3</v>
      </c>
      <c r="D7" s="174">
        <f t="shared" si="0"/>
        <v>4</v>
      </c>
      <c r="E7" s="174">
        <f t="shared" si="0"/>
        <v>5</v>
      </c>
      <c r="F7" s="174">
        <f t="shared" si="0"/>
        <v>6</v>
      </c>
      <c r="G7" s="174">
        <f t="shared" si="0"/>
        <v>7</v>
      </c>
      <c r="H7" s="174">
        <f t="shared" si="0"/>
        <v>8</v>
      </c>
      <c r="I7" s="174">
        <f t="shared" si="0"/>
        <v>9</v>
      </c>
      <c r="J7" s="174">
        <f t="shared" ref="J7" si="1">I7+1</f>
        <v>10</v>
      </c>
      <c r="K7" s="174">
        <f t="shared" ref="K7" si="2">J7+1</f>
        <v>11</v>
      </c>
      <c r="L7" s="174">
        <f t="shared" ref="L7" si="3">K7+1</f>
        <v>12</v>
      </c>
      <c r="M7" s="174">
        <f t="shared" ref="M7" si="4">L7+1</f>
        <v>13</v>
      </c>
      <c r="N7" s="174">
        <f t="shared" ref="N7" si="5">M7+1</f>
        <v>14</v>
      </c>
      <c r="O7" s="174">
        <f t="shared" ref="O7" si="6">N7+1</f>
        <v>15</v>
      </c>
      <c r="P7" s="174">
        <f t="shared" ref="P7" si="7">O7+1</f>
        <v>16</v>
      </c>
      <c r="Q7" s="174">
        <f t="shared" ref="Q7" si="8">P7+1</f>
        <v>17</v>
      </c>
      <c r="R7" s="174">
        <f t="shared" ref="R7" si="9">Q7+1</f>
        <v>18</v>
      </c>
      <c r="S7" s="174">
        <f t="shared" ref="S7" si="10">R7+1</f>
        <v>19</v>
      </c>
      <c r="T7" s="174">
        <f t="shared" ref="T7" si="11">S7+1</f>
        <v>20</v>
      </c>
      <c r="U7" s="174">
        <f t="shared" ref="U7" si="12">T7+1</f>
        <v>21</v>
      </c>
      <c r="V7" s="174">
        <f t="shared" ref="V7" si="13">U7+1</f>
        <v>22</v>
      </c>
      <c r="W7" s="174">
        <f t="shared" ref="W7" si="14">V7+1</f>
        <v>23</v>
      </c>
      <c r="X7" s="174">
        <f t="shared" ref="X7" si="15">W7+1</f>
        <v>24</v>
      </c>
      <c r="Y7" s="174">
        <f t="shared" ref="Y7" si="16">X7+1</f>
        <v>25</v>
      </c>
      <c r="Z7" s="174">
        <f t="shared" ref="Z7" si="17">Y7+1</f>
        <v>26</v>
      </c>
      <c r="AA7" s="174">
        <f t="shared" ref="AA7" si="18">Z7+1</f>
        <v>27</v>
      </c>
      <c r="AB7" s="174">
        <f t="shared" ref="AB7" si="19">AA7+1</f>
        <v>28</v>
      </c>
      <c r="AC7" s="174">
        <f t="shared" ref="AC7" si="20">AB7+1</f>
        <v>29</v>
      </c>
      <c r="AD7" s="174">
        <f t="shared" ref="AD7" si="21">AC7+1</f>
        <v>30</v>
      </c>
      <c r="AE7" s="174">
        <f t="shared" ref="AE7" si="22">AD7+1</f>
        <v>31</v>
      </c>
      <c r="AF7" s="174">
        <f t="shared" ref="AF7" si="23">AE7+1</f>
        <v>32</v>
      </c>
      <c r="AG7" s="174">
        <f t="shared" ref="AG7" si="24">AF7+1</f>
        <v>33</v>
      </c>
      <c r="AH7" s="174">
        <f t="shared" ref="AH7" si="25">AG7+1</f>
        <v>34</v>
      </c>
      <c r="AI7" s="174">
        <f t="shared" ref="AI7" si="26">AH7+1</f>
        <v>35</v>
      </c>
      <c r="AJ7" s="174">
        <f t="shared" ref="AJ7" si="27">AI7+1</f>
        <v>36</v>
      </c>
      <c r="AK7" s="174">
        <f t="shared" ref="AK7" si="28">AJ7+1</f>
        <v>37</v>
      </c>
      <c r="AL7" s="174">
        <f t="shared" ref="AL7" si="29">AK7+1</f>
        <v>38</v>
      </c>
      <c r="AM7" s="174">
        <f t="shared" ref="AM7" si="30">AL7+1</f>
        <v>39</v>
      </c>
      <c r="AN7" s="174">
        <f t="shared" ref="AN7" si="31">AM7+1</f>
        <v>40</v>
      </c>
      <c r="AO7" s="174">
        <f t="shared" ref="AO7" si="32">AN7+1</f>
        <v>41</v>
      </c>
      <c r="AP7" s="174">
        <f t="shared" ref="AP7" si="33">AO7+1</f>
        <v>42</v>
      </c>
    </row>
    <row r="8" spans="1:42" s="55" customFormat="1" ht="28.5" x14ac:dyDescent="0.2">
      <c r="A8" s="176" t="s">
        <v>5</v>
      </c>
      <c r="B8" s="56" t="s">
        <v>89</v>
      </c>
      <c r="C8" s="57" t="s">
        <v>90</v>
      </c>
      <c r="D8" s="58">
        <f t="shared" ref="D8:F8" si="34">D9+D10</f>
        <v>15802.362433141101</v>
      </c>
      <c r="E8" s="59">
        <f t="shared" si="34"/>
        <v>15131.808511225861</v>
      </c>
      <c r="F8" s="60">
        <f t="shared" si="34"/>
        <v>30934.170944366961</v>
      </c>
      <c r="G8" s="58">
        <f t="shared" ref="G8:I8" si="35">G9+G10</f>
        <v>50128.517543368805</v>
      </c>
      <c r="H8" s="59">
        <f t="shared" si="35"/>
        <v>47125.597456631214</v>
      </c>
      <c r="I8" s="60">
        <f t="shared" si="35"/>
        <v>97254.11500000002</v>
      </c>
      <c r="J8" s="202">
        <f t="shared" ref="J8:O8" si="36">J9+J10</f>
        <v>9273.3924077348984</v>
      </c>
      <c r="K8" s="203">
        <f t="shared" si="36"/>
        <v>9307.6374632651005</v>
      </c>
      <c r="L8" s="190">
        <f t="shared" si="36"/>
        <v>18581.029870999999</v>
      </c>
      <c r="M8" s="58">
        <f t="shared" si="36"/>
        <v>65186.716269639619</v>
      </c>
      <c r="N8" s="59">
        <f t="shared" si="36"/>
        <v>65136.245368597163</v>
      </c>
      <c r="O8" s="60">
        <f t="shared" si="36"/>
        <v>130322.96163823678</v>
      </c>
      <c r="P8" s="58">
        <f t="shared" ref="P8:U8" si="37">P9+P10</f>
        <v>10983.844268274301</v>
      </c>
      <c r="Q8" s="59">
        <f t="shared" si="37"/>
        <v>11989.316479725701</v>
      </c>
      <c r="R8" s="60">
        <f t="shared" si="37"/>
        <v>22973.160748000002</v>
      </c>
      <c r="S8" s="58">
        <f t="shared" si="37"/>
        <v>7148.3159385133185</v>
      </c>
      <c r="T8" s="59">
        <f t="shared" si="37"/>
        <v>8007.8121124866802</v>
      </c>
      <c r="U8" s="106">
        <f t="shared" si="37"/>
        <v>15156.128051</v>
      </c>
      <c r="V8" s="58">
        <f t="shared" ref="V8:X8" si="38">V9+V10</f>
        <v>8616.4944245294737</v>
      </c>
      <c r="W8" s="59">
        <f t="shared" si="38"/>
        <v>8552.047503389078</v>
      </c>
      <c r="X8" s="60">
        <f t="shared" si="38"/>
        <v>17168.541927918552</v>
      </c>
      <c r="Y8" s="58">
        <f t="shared" ref="Y8:AA8" si="39">Y9+Y10</f>
        <v>2993.2262308601676</v>
      </c>
      <c r="Z8" s="59">
        <f t="shared" si="39"/>
        <v>3024.6954402114407</v>
      </c>
      <c r="AA8" s="60">
        <f t="shared" si="39"/>
        <v>6017.9216710716082</v>
      </c>
      <c r="AB8" s="58">
        <f t="shared" ref="AB8:AD8" si="40">AB9+AB10</f>
        <v>25344.395707891232</v>
      </c>
      <c r="AC8" s="59">
        <f t="shared" si="40"/>
        <v>24712.542269414291</v>
      </c>
      <c r="AD8" s="60">
        <f t="shared" si="40"/>
        <v>50056.937977305526</v>
      </c>
      <c r="AE8" s="58">
        <f t="shared" ref="AE8:AG8" si="41">AE9+AE10</f>
        <v>16013.807230728753</v>
      </c>
      <c r="AF8" s="59">
        <f t="shared" si="41"/>
        <v>17052.321035271249</v>
      </c>
      <c r="AG8" s="60">
        <f t="shared" si="41"/>
        <v>33066.128266</v>
      </c>
      <c r="AH8" s="58">
        <f t="shared" ref="AH8:AJ8" si="42">AH9+AH10</f>
        <v>21367.135313692423</v>
      </c>
      <c r="AI8" s="59">
        <f t="shared" si="42"/>
        <v>20989.986686307577</v>
      </c>
      <c r="AJ8" s="60">
        <f t="shared" si="42"/>
        <v>42357.122000000003</v>
      </c>
      <c r="AK8" s="58">
        <f t="shared" ref="AK8:AP8" si="43">AK9+AK10</f>
        <v>79008.598313672599</v>
      </c>
      <c r="AL8" s="59">
        <f t="shared" si="43"/>
        <v>80292.116446327418</v>
      </c>
      <c r="AM8" s="60">
        <f t="shared" si="43"/>
        <v>159300.71476</v>
      </c>
      <c r="AN8" s="58">
        <f t="shared" si="43"/>
        <v>8354.804149088126</v>
      </c>
      <c r="AO8" s="59">
        <f t="shared" si="43"/>
        <v>12494.467850911904</v>
      </c>
      <c r="AP8" s="106">
        <f t="shared" si="43"/>
        <v>20849.27200000003</v>
      </c>
    </row>
    <row r="9" spans="1:42" s="55" customFormat="1" ht="15" x14ac:dyDescent="0.2">
      <c r="A9" s="61" t="s">
        <v>33</v>
      </c>
      <c r="B9" s="62" t="s">
        <v>91</v>
      </c>
      <c r="C9" s="63" t="s">
        <v>90</v>
      </c>
      <c r="D9" s="121">
        <v>15802.362433141101</v>
      </c>
      <c r="E9" s="115">
        <v>15131.808511225861</v>
      </c>
      <c r="F9" s="115">
        <f>D9+E9</f>
        <v>30934.170944366961</v>
      </c>
      <c r="G9" s="121"/>
      <c r="H9" s="115"/>
      <c r="I9" s="115">
        <f>G9+H9</f>
        <v>0</v>
      </c>
      <c r="J9" s="204"/>
      <c r="K9" s="191"/>
      <c r="L9" s="191">
        <f>J9+K9</f>
        <v>0</v>
      </c>
      <c r="M9" s="121"/>
      <c r="N9" s="115"/>
      <c r="O9" s="115">
        <f>M9+N9</f>
        <v>0</v>
      </c>
      <c r="P9" s="121"/>
      <c r="Q9" s="115"/>
      <c r="R9" s="115">
        <f>P9+Q9</f>
        <v>0</v>
      </c>
      <c r="S9" s="121"/>
      <c r="T9" s="115"/>
      <c r="U9" s="119">
        <f>S9+T9</f>
        <v>0</v>
      </c>
      <c r="V9" s="121"/>
      <c r="W9" s="115"/>
      <c r="X9" s="115">
        <f>V9+W9</f>
        <v>0</v>
      </c>
      <c r="Y9" s="121">
        <v>2993.2262308601676</v>
      </c>
      <c r="Z9" s="115">
        <v>3024.6954402114407</v>
      </c>
      <c r="AA9" s="115">
        <f>Y9+Z9</f>
        <v>6017.9216710716082</v>
      </c>
      <c r="AB9" s="121"/>
      <c r="AC9" s="115"/>
      <c r="AD9" s="115">
        <f>AB9+AC9</f>
        <v>0</v>
      </c>
      <c r="AE9" s="121"/>
      <c r="AF9" s="115"/>
      <c r="AG9" s="115">
        <f>AE9+AF9</f>
        <v>0</v>
      </c>
      <c r="AH9" s="121"/>
      <c r="AI9" s="115"/>
      <c r="AJ9" s="115">
        <f>AH9+AI9</f>
        <v>0</v>
      </c>
      <c r="AK9" s="71"/>
      <c r="AL9" s="72"/>
      <c r="AM9" s="115">
        <f>AK9+AL9</f>
        <v>0</v>
      </c>
      <c r="AN9" s="121">
        <f>8794.79077974423-439.986630656103</f>
        <v>8354.804149088126</v>
      </c>
      <c r="AO9" s="115">
        <f>12054.4812202558+439.986630656103</f>
        <v>12494.467850911904</v>
      </c>
      <c r="AP9" s="119">
        <f>AN9+AO9</f>
        <v>20849.27200000003</v>
      </c>
    </row>
    <row r="10" spans="1:42" s="55" customFormat="1" ht="15" x14ac:dyDescent="0.2">
      <c r="A10" s="84" t="s">
        <v>34</v>
      </c>
      <c r="B10" s="65" t="s">
        <v>92</v>
      </c>
      <c r="C10" s="66" t="s">
        <v>90</v>
      </c>
      <c r="D10" s="71"/>
      <c r="E10" s="72"/>
      <c r="F10" s="72">
        <f>D10+E10</f>
        <v>0</v>
      </c>
      <c r="G10" s="71">
        <v>50128.517543368805</v>
      </c>
      <c r="H10" s="72">
        <v>47125.597456631214</v>
      </c>
      <c r="I10" s="72">
        <f>G10+H10</f>
        <v>97254.11500000002</v>
      </c>
      <c r="J10" s="183">
        <v>9273.3924077348984</v>
      </c>
      <c r="K10" s="184">
        <v>9307.6374632651005</v>
      </c>
      <c r="L10" s="184">
        <f>J10+K10</f>
        <v>18581.029870999999</v>
      </c>
      <c r="M10" s="71">
        <v>65186.716269639619</v>
      </c>
      <c r="N10" s="72">
        <v>65136.245368597163</v>
      </c>
      <c r="O10" s="72">
        <f>M10+N10</f>
        <v>130322.96163823678</v>
      </c>
      <c r="P10" s="71">
        <f>11042.8746792102-59.0301589359005-0.000251999997999519</f>
        <v>10983.844268274301</v>
      </c>
      <c r="Q10" s="72">
        <f>11930.2863207898+59.0301589359005</f>
        <v>11989.316479725701</v>
      </c>
      <c r="R10" s="72">
        <f>P10+Q10</f>
        <v>22973.160748000002</v>
      </c>
      <c r="S10" s="71">
        <v>7148.3159385133185</v>
      </c>
      <c r="T10" s="72">
        <v>8007.8121124866802</v>
      </c>
      <c r="U10" s="108">
        <f>S10+T10</f>
        <v>15156.128051</v>
      </c>
      <c r="V10" s="71">
        <v>8616.4944245294737</v>
      </c>
      <c r="W10" s="72">
        <v>8552.047503389078</v>
      </c>
      <c r="X10" s="72">
        <f>V10+W10</f>
        <v>17168.541927918552</v>
      </c>
      <c r="Y10" s="71"/>
      <c r="Z10" s="72"/>
      <c r="AA10" s="72">
        <f>Y10+Z10</f>
        <v>0</v>
      </c>
      <c r="AB10" s="71">
        <v>25344.395707891232</v>
      </c>
      <c r="AC10" s="72">
        <v>24712.542269414291</v>
      </c>
      <c r="AD10" s="72">
        <f>AB10+AC10</f>
        <v>50056.937977305526</v>
      </c>
      <c r="AE10" s="71">
        <v>16013.807230728753</v>
      </c>
      <c r="AF10" s="72">
        <v>17052.321035271249</v>
      </c>
      <c r="AG10" s="72">
        <f>AE10+AF10</f>
        <v>33066.128266</v>
      </c>
      <c r="AH10" s="71">
        <v>21367.135313692423</v>
      </c>
      <c r="AI10" s="72">
        <v>20989.986686307577</v>
      </c>
      <c r="AJ10" s="72">
        <f>AH10+AI10</f>
        <v>42357.122000000003</v>
      </c>
      <c r="AK10" s="122">
        <v>79008.598313672599</v>
      </c>
      <c r="AL10" s="123">
        <v>80292.116446327418</v>
      </c>
      <c r="AM10" s="72">
        <f>AK10+AL10</f>
        <v>159300.71476</v>
      </c>
      <c r="AN10" s="71"/>
      <c r="AO10" s="72"/>
      <c r="AP10" s="108">
        <f>AN10+AO10</f>
        <v>0</v>
      </c>
    </row>
    <row r="11" spans="1:42" s="55" customFormat="1" ht="28.5" x14ac:dyDescent="0.2">
      <c r="A11" s="85" t="s">
        <v>6</v>
      </c>
      <c r="B11" s="68" t="s">
        <v>93</v>
      </c>
      <c r="C11" s="66" t="s">
        <v>90</v>
      </c>
      <c r="D11" s="114"/>
      <c r="E11" s="116"/>
      <c r="F11" s="69"/>
      <c r="G11" s="205">
        <v>90547.780665845814</v>
      </c>
      <c r="H11" s="206">
        <v>88486.319809060456</v>
      </c>
      <c r="I11" s="192">
        <f>G11+H11</f>
        <v>179034.10047490627</v>
      </c>
      <c r="J11" s="205"/>
      <c r="K11" s="206"/>
      <c r="L11" s="192"/>
      <c r="M11" s="114"/>
      <c r="N11" s="116"/>
      <c r="O11" s="69"/>
      <c r="P11" s="114"/>
      <c r="Q11" s="116"/>
      <c r="R11" s="69"/>
      <c r="S11" s="114"/>
      <c r="T11" s="116"/>
      <c r="U11" s="109"/>
      <c r="V11" s="114"/>
      <c r="W11" s="116"/>
      <c r="X11" s="69"/>
      <c r="Y11" s="114"/>
      <c r="Z11" s="116"/>
      <c r="AA11" s="69"/>
      <c r="AB11" s="114"/>
      <c r="AC11" s="116"/>
      <c r="AD11" s="69"/>
      <c r="AE11" s="114"/>
      <c r="AF11" s="116"/>
      <c r="AG11" s="69"/>
      <c r="AH11" s="114"/>
      <c r="AI11" s="116"/>
      <c r="AJ11" s="69"/>
      <c r="AK11" s="114"/>
      <c r="AL11" s="116"/>
      <c r="AM11" s="69"/>
      <c r="AN11" s="114"/>
      <c r="AO11" s="116"/>
      <c r="AP11" s="109"/>
    </row>
    <row r="12" spans="1:42" s="55" customFormat="1" ht="15" x14ac:dyDescent="0.2">
      <c r="A12" s="84" t="s">
        <v>7</v>
      </c>
      <c r="B12" s="70" t="s">
        <v>94</v>
      </c>
      <c r="C12" s="66" t="s">
        <v>90</v>
      </c>
      <c r="D12" s="71"/>
      <c r="E12" s="72"/>
      <c r="F12" s="67">
        <f>D12+E12</f>
        <v>0</v>
      </c>
      <c r="G12" s="71">
        <v>7968.6291369863002</v>
      </c>
      <c r="H12" s="72">
        <v>8100.7058630136989</v>
      </c>
      <c r="I12" s="67">
        <f>G12+H12</f>
        <v>16069.334999999999</v>
      </c>
      <c r="J12" s="183">
        <v>0.78053150684931505</v>
      </c>
      <c r="K12" s="184">
        <v>0.79346849315068479</v>
      </c>
      <c r="L12" s="193">
        <f>J12+K12</f>
        <v>1.5739999999999998</v>
      </c>
      <c r="M12" s="71">
        <v>9.0212383561643836</v>
      </c>
      <c r="N12" s="72">
        <v>9.1707616438356165</v>
      </c>
      <c r="O12" s="67">
        <f>M12+N12</f>
        <v>18.192</v>
      </c>
      <c r="P12" s="71"/>
      <c r="Q12" s="72"/>
      <c r="R12" s="67">
        <f>P12+Q12</f>
        <v>0</v>
      </c>
      <c r="S12" s="71"/>
      <c r="T12" s="72"/>
      <c r="U12" s="108">
        <f>S12+T12</f>
        <v>0</v>
      </c>
      <c r="V12" s="71">
        <v>1313.495998366325</v>
      </c>
      <c r="W12" s="72">
        <v>1335.2666502729492</v>
      </c>
      <c r="X12" s="67">
        <f>V12+W12</f>
        <v>2648.7626486392742</v>
      </c>
      <c r="Y12" s="211">
        <v>373.89413292194439</v>
      </c>
      <c r="Z12" s="212">
        <v>380.0912732466175</v>
      </c>
      <c r="AA12" s="67">
        <f>Y12+Z12</f>
        <v>753.98540616856189</v>
      </c>
      <c r="AB12" s="71">
        <v>1928.2316507286405</v>
      </c>
      <c r="AC12" s="72">
        <v>1960.1912913484525</v>
      </c>
      <c r="AD12" s="67">
        <f>AB12+AC12</f>
        <v>3888.422942077093</v>
      </c>
      <c r="AE12" s="71"/>
      <c r="AF12" s="72"/>
      <c r="AG12" s="67">
        <f>AE12+AF12</f>
        <v>0</v>
      </c>
      <c r="AH12" s="71"/>
      <c r="AI12" s="72"/>
      <c r="AJ12" s="67">
        <f>AH12+AI12</f>
        <v>0</v>
      </c>
      <c r="AK12" s="71">
        <v>777.23581917808224</v>
      </c>
      <c r="AL12" s="72">
        <v>790.1181808219178</v>
      </c>
      <c r="AM12" s="67">
        <f>AK12+AL12</f>
        <v>1567.354</v>
      </c>
      <c r="AN12" s="71"/>
      <c r="AO12" s="72"/>
      <c r="AP12" s="108">
        <f>AN12+AO12</f>
        <v>0</v>
      </c>
    </row>
    <row r="13" spans="1:42" s="55" customFormat="1" ht="15" x14ac:dyDescent="0.2">
      <c r="A13" s="84" t="s">
        <v>8</v>
      </c>
      <c r="B13" s="70" t="s">
        <v>95</v>
      </c>
      <c r="C13" s="66" t="s">
        <v>90</v>
      </c>
      <c r="D13" s="71">
        <f t="shared" ref="D13:F13" si="44">D8+D11-D12</f>
        <v>15802.362433141101</v>
      </c>
      <c r="E13" s="72">
        <f t="shared" si="44"/>
        <v>15131.808511225861</v>
      </c>
      <c r="F13" s="64">
        <f t="shared" si="44"/>
        <v>30934.170944366961</v>
      </c>
      <c r="G13" s="71">
        <f>G8+G11-G12</f>
        <v>132707.66907222831</v>
      </c>
      <c r="H13" s="72">
        <f>H8+H11-H12</f>
        <v>127511.21140267797</v>
      </c>
      <c r="I13" s="64">
        <f t="shared" ref="I13" si="45">I8+I11-I12</f>
        <v>260218.88047490627</v>
      </c>
      <c r="J13" s="183">
        <f t="shared" ref="J13:O13" si="46">J8+J11-J12</f>
        <v>9272.6118762280494</v>
      </c>
      <c r="K13" s="184">
        <f t="shared" si="46"/>
        <v>9306.8439947719489</v>
      </c>
      <c r="L13" s="194">
        <f t="shared" si="46"/>
        <v>18579.455870999998</v>
      </c>
      <c r="M13" s="71">
        <f t="shared" si="46"/>
        <v>65177.695031283452</v>
      </c>
      <c r="N13" s="72">
        <f t="shared" si="46"/>
        <v>65127.074606953327</v>
      </c>
      <c r="O13" s="64">
        <f t="shared" si="46"/>
        <v>130304.76963823679</v>
      </c>
      <c r="P13" s="71">
        <f t="shared" ref="P13:U13" si="47">P8+P11-P12</f>
        <v>10983.844268274301</v>
      </c>
      <c r="Q13" s="72">
        <f t="shared" si="47"/>
        <v>11989.316479725701</v>
      </c>
      <c r="R13" s="64">
        <f t="shared" si="47"/>
        <v>22973.160748000002</v>
      </c>
      <c r="S13" s="71">
        <f t="shared" si="47"/>
        <v>7148.3159385133185</v>
      </c>
      <c r="T13" s="72">
        <f t="shared" si="47"/>
        <v>8007.8121124866802</v>
      </c>
      <c r="U13" s="107">
        <f t="shared" si="47"/>
        <v>15156.128051</v>
      </c>
      <c r="V13" s="71">
        <f t="shared" ref="V13:X13" si="48">V8+V11-V12</f>
        <v>7302.9984261631489</v>
      </c>
      <c r="W13" s="72">
        <f t="shared" si="48"/>
        <v>7216.780853116129</v>
      </c>
      <c r="X13" s="64">
        <f t="shared" si="48"/>
        <v>14519.779279279277</v>
      </c>
      <c r="Y13" s="71">
        <f t="shared" ref="Y13:AA13" si="49">Y8+Y11-Y12</f>
        <v>2619.3320979382233</v>
      </c>
      <c r="Z13" s="72">
        <f t="shared" si="49"/>
        <v>2644.604166964823</v>
      </c>
      <c r="AA13" s="64">
        <f t="shared" si="49"/>
        <v>5263.9362649030463</v>
      </c>
      <c r="AB13" s="71">
        <f t="shared" ref="AB13:AD13" si="50">AB8+AB11-AB12</f>
        <v>23416.16405716259</v>
      </c>
      <c r="AC13" s="72">
        <f t="shared" si="50"/>
        <v>22752.350978065839</v>
      </c>
      <c r="AD13" s="64">
        <f t="shared" si="50"/>
        <v>46168.515035228433</v>
      </c>
      <c r="AE13" s="71">
        <f t="shared" ref="AE13:AG13" si="51">AE8+AE11-AE12</f>
        <v>16013.807230728753</v>
      </c>
      <c r="AF13" s="72">
        <f t="shared" si="51"/>
        <v>17052.321035271249</v>
      </c>
      <c r="AG13" s="64">
        <f t="shared" si="51"/>
        <v>33066.128266</v>
      </c>
      <c r="AH13" s="71">
        <f t="shared" ref="AH13:AJ13" si="52">AH8+AH11-AH12</f>
        <v>21367.135313692423</v>
      </c>
      <c r="AI13" s="72">
        <f t="shared" si="52"/>
        <v>20989.986686307577</v>
      </c>
      <c r="AJ13" s="64">
        <f t="shared" si="52"/>
        <v>42357.122000000003</v>
      </c>
      <c r="AK13" s="71">
        <f t="shared" ref="AK13:AP13" si="53">AK8+AK11-AK12</f>
        <v>78231.362494494519</v>
      </c>
      <c r="AL13" s="72">
        <f t="shared" si="53"/>
        <v>79501.998265505506</v>
      </c>
      <c r="AM13" s="64">
        <f t="shared" si="53"/>
        <v>157733.36076000001</v>
      </c>
      <c r="AN13" s="71">
        <f t="shared" si="53"/>
        <v>8354.804149088126</v>
      </c>
      <c r="AO13" s="72">
        <f t="shared" si="53"/>
        <v>12494.467850911904</v>
      </c>
      <c r="AP13" s="107">
        <f t="shared" si="53"/>
        <v>20849.27200000003</v>
      </c>
    </row>
    <row r="14" spans="1:42" s="55" customFormat="1" ht="15" x14ac:dyDescent="0.2">
      <c r="A14" s="84" t="s">
        <v>9</v>
      </c>
      <c r="B14" s="70" t="s">
        <v>96</v>
      </c>
      <c r="C14" s="66" t="s">
        <v>90</v>
      </c>
      <c r="D14" s="71">
        <f t="shared" ref="D14:F14" si="54">D15+D16</f>
        <v>1173.6600356164386</v>
      </c>
      <c r="E14" s="72">
        <f t="shared" si="54"/>
        <v>1193.1129643835616</v>
      </c>
      <c r="F14" s="67">
        <f t="shared" si="54"/>
        <v>2366.7730000000001</v>
      </c>
      <c r="G14" s="71">
        <f t="shared" ref="G14:I14" si="55">G15+G16</f>
        <v>4318.9704273972602</v>
      </c>
      <c r="H14" s="72">
        <f>H15+H16</f>
        <v>4390.5555726027396</v>
      </c>
      <c r="I14" s="67">
        <f t="shared" si="55"/>
        <v>8709.5259999999998</v>
      </c>
      <c r="J14" s="183">
        <f t="shared" ref="J14:O14" si="56">J15+J16</f>
        <v>345.96191232876714</v>
      </c>
      <c r="K14" s="184">
        <f t="shared" si="56"/>
        <v>351.69608767123287</v>
      </c>
      <c r="L14" s="193">
        <f t="shared" si="56"/>
        <v>697.65800000000002</v>
      </c>
      <c r="M14" s="71">
        <f t="shared" si="56"/>
        <v>2048.3551808219181</v>
      </c>
      <c r="N14" s="72">
        <f t="shared" si="56"/>
        <v>2082.3058191780819</v>
      </c>
      <c r="O14" s="67">
        <f t="shared" si="56"/>
        <v>4130.6610000000001</v>
      </c>
      <c r="P14" s="71">
        <f t="shared" ref="P14:U14" si="57">P15+P16</f>
        <v>704.71978082191777</v>
      </c>
      <c r="Q14" s="72">
        <f t="shared" si="57"/>
        <v>716.40021917808212</v>
      </c>
      <c r="R14" s="67">
        <f t="shared" si="57"/>
        <v>1421.12</v>
      </c>
      <c r="S14" s="71">
        <f t="shared" si="57"/>
        <v>186.01543561643837</v>
      </c>
      <c r="T14" s="72">
        <f t="shared" si="57"/>
        <v>189.09856438356161</v>
      </c>
      <c r="U14" s="108">
        <f t="shared" si="57"/>
        <v>375.11399999999998</v>
      </c>
      <c r="V14" s="71">
        <f t="shared" ref="V14:X14" si="58">V15+V16</f>
        <v>806.42456314945071</v>
      </c>
      <c r="W14" s="72">
        <f t="shared" si="58"/>
        <v>819.7907161298283</v>
      </c>
      <c r="X14" s="67">
        <f t="shared" si="58"/>
        <v>1626.215279279279</v>
      </c>
      <c r="Y14" s="71">
        <f t="shared" ref="Y14:AA14" si="59">Y15+Y16</f>
        <v>459.62787795032119</v>
      </c>
      <c r="Z14" s="72">
        <f t="shared" si="59"/>
        <v>467.24601957380713</v>
      </c>
      <c r="AA14" s="67">
        <f t="shared" si="59"/>
        <v>926.87389752412832</v>
      </c>
      <c r="AB14" s="71">
        <f t="shared" ref="AB14:AD14" si="60">AB15+AB16</f>
        <v>2228.0950653817699</v>
      </c>
      <c r="AC14" s="72">
        <f t="shared" si="60"/>
        <v>2265.0248178466609</v>
      </c>
      <c r="AD14" s="67">
        <f t="shared" si="60"/>
        <v>4493.1198832284308</v>
      </c>
      <c r="AE14" s="71">
        <f t="shared" ref="AE14:AG14" si="61">AE15+AE16</f>
        <v>1512.8034547945203</v>
      </c>
      <c r="AF14" s="72">
        <f t="shared" si="61"/>
        <v>1537.8775452054797</v>
      </c>
      <c r="AG14" s="67">
        <f t="shared" si="61"/>
        <v>3050.681</v>
      </c>
      <c r="AH14" s="71">
        <f t="shared" ref="AH14:AJ14" si="62">AH15+AH16</f>
        <v>5270.8667835616434</v>
      </c>
      <c r="AI14" s="72">
        <f t="shared" si="62"/>
        <v>5358.2292164383562</v>
      </c>
      <c r="AJ14" s="67">
        <f t="shared" si="62"/>
        <v>10629.096</v>
      </c>
      <c r="AK14" s="71">
        <f t="shared" ref="AK14:AP14" si="63">AK15+AK16</f>
        <v>4042.33002739726</v>
      </c>
      <c r="AL14" s="72">
        <f t="shared" si="63"/>
        <v>4109.3299726027399</v>
      </c>
      <c r="AM14" s="67">
        <f t="shared" si="63"/>
        <v>8151.66</v>
      </c>
      <c r="AN14" s="71">
        <f t="shared" si="63"/>
        <v>2512.2011534246576</v>
      </c>
      <c r="AO14" s="72">
        <f t="shared" si="63"/>
        <v>2553.8398465753426</v>
      </c>
      <c r="AP14" s="179">
        <f t="shared" si="63"/>
        <v>5066.0410000000002</v>
      </c>
    </row>
    <row r="15" spans="1:42" s="55" customFormat="1" ht="15" x14ac:dyDescent="0.2">
      <c r="A15" s="177" t="s">
        <v>97</v>
      </c>
      <c r="B15" s="73" t="s">
        <v>98</v>
      </c>
      <c r="C15" s="74" t="s">
        <v>90</v>
      </c>
      <c r="D15" s="122">
        <v>1173.6600356164386</v>
      </c>
      <c r="E15" s="123">
        <v>1193.1129643835616</v>
      </c>
      <c r="F15" s="67">
        <f>D15+E15</f>
        <v>2366.7730000000001</v>
      </c>
      <c r="G15" s="122">
        <v>4318.9704273972602</v>
      </c>
      <c r="H15" s="123">
        <v>4390.5555726027396</v>
      </c>
      <c r="I15" s="67">
        <f>G15+H15</f>
        <v>8709.5259999999998</v>
      </c>
      <c r="J15" s="185">
        <v>345.96191232876714</v>
      </c>
      <c r="K15" s="186">
        <v>351.69608767123287</v>
      </c>
      <c r="L15" s="193">
        <f>J15+K15</f>
        <v>697.65800000000002</v>
      </c>
      <c r="M15" s="122">
        <v>2048.3551808219181</v>
      </c>
      <c r="N15" s="123">
        <v>2082.3058191780819</v>
      </c>
      <c r="O15" s="67">
        <f>M15+N15</f>
        <v>4130.6610000000001</v>
      </c>
      <c r="P15" s="122">
        <v>704.71978082191777</v>
      </c>
      <c r="Q15" s="123">
        <v>716.40021917808212</v>
      </c>
      <c r="R15" s="67">
        <f>P15+Q15</f>
        <v>1421.12</v>
      </c>
      <c r="S15" s="122">
        <v>186.01543561643837</v>
      </c>
      <c r="T15" s="123">
        <v>189.09856438356161</v>
      </c>
      <c r="U15" s="108">
        <f>S15+T15</f>
        <v>375.11399999999998</v>
      </c>
      <c r="V15" s="122">
        <v>806.42456314945071</v>
      </c>
      <c r="W15" s="123">
        <v>819.7907161298283</v>
      </c>
      <c r="X15" s="67">
        <f>V15+W15</f>
        <v>1626.215279279279</v>
      </c>
      <c r="Y15" s="122">
        <v>459.62787795032119</v>
      </c>
      <c r="Z15" s="123">
        <v>467.24601957380713</v>
      </c>
      <c r="AA15" s="67">
        <f>Y15+Z15</f>
        <v>926.87389752412832</v>
      </c>
      <c r="AB15" s="122">
        <v>2228.0950653817699</v>
      </c>
      <c r="AC15" s="123">
        <v>2265.0248178466609</v>
      </c>
      <c r="AD15" s="67">
        <f>AB15+AC15</f>
        <v>4493.1198832284308</v>
      </c>
      <c r="AE15" s="122">
        <v>1512.8034547945203</v>
      </c>
      <c r="AF15" s="123">
        <v>1537.8775452054797</v>
      </c>
      <c r="AG15" s="67">
        <f>AE15+AF15</f>
        <v>3050.681</v>
      </c>
      <c r="AH15" s="122">
        <v>5270.8667835616434</v>
      </c>
      <c r="AI15" s="123">
        <v>5358.2292164383562</v>
      </c>
      <c r="AJ15" s="67">
        <f>AH15+AI15</f>
        <v>10629.096</v>
      </c>
      <c r="AK15" s="122">
        <v>4042.33002739726</v>
      </c>
      <c r="AL15" s="123">
        <v>4109.3299726027399</v>
      </c>
      <c r="AM15" s="67">
        <f>AK15+AL15</f>
        <v>8151.66</v>
      </c>
      <c r="AN15" s="122">
        <v>2512.2011534246576</v>
      </c>
      <c r="AO15" s="123">
        <v>2553.8398465753426</v>
      </c>
      <c r="AP15" s="108">
        <f>AN15+AO15</f>
        <v>5066.0410000000002</v>
      </c>
    </row>
    <row r="16" spans="1:42" s="55" customFormat="1" ht="15" x14ac:dyDescent="0.2">
      <c r="A16" s="82" t="s">
        <v>99</v>
      </c>
      <c r="B16" s="73" t="s">
        <v>100</v>
      </c>
      <c r="C16" s="66" t="s">
        <v>90</v>
      </c>
      <c r="D16" s="71"/>
      <c r="E16" s="72"/>
      <c r="F16" s="67">
        <f>D16+E16</f>
        <v>0</v>
      </c>
      <c r="G16" s="71"/>
      <c r="H16" s="72"/>
      <c r="I16" s="67">
        <f>G16+H16</f>
        <v>0</v>
      </c>
      <c r="J16" s="183"/>
      <c r="K16" s="184"/>
      <c r="L16" s="193">
        <f>J16+K16</f>
        <v>0</v>
      </c>
      <c r="M16" s="71"/>
      <c r="N16" s="72"/>
      <c r="O16" s="67">
        <f>M16+N16</f>
        <v>0</v>
      </c>
      <c r="P16" s="71"/>
      <c r="Q16" s="72"/>
      <c r="R16" s="67">
        <f>P16+Q16</f>
        <v>0</v>
      </c>
      <c r="S16" s="71"/>
      <c r="T16" s="72"/>
      <c r="U16" s="108">
        <f>S16+T16</f>
        <v>0</v>
      </c>
      <c r="V16" s="71"/>
      <c r="W16" s="72"/>
      <c r="X16" s="67">
        <f>V16+W16</f>
        <v>0</v>
      </c>
      <c r="Y16" s="71"/>
      <c r="Z16" s="72"/>
      <c r="AA16" s="67">
        <f>Y16+Z16</f>
        <v>0</v>
      </c>
      <c r="AB16" s="71"/>
      <c r="AC16" s="72"/>
      <c r="AD16" s="67">
        <f>AB16+AC16</f>
        <v>0</v>
      </c>
      <c r="AE16" s="71"/>
      <c r="AF16" s="72"/>
      <c r="AG16" s="67">
        <f>AE16+AF16</f>
        <v>0</v>
      </c>
      <c r="AH16" s="71"/>
      <c r="AI16" s="72"/>
      <c r="AJ16" s="67">
        <f>AH16+AI16</f>
        <v>0</v>
      </c>
      <c r="AK16" s="71"/>
      <c r="AL16" s="72"/>
      <c r="AM16" s="67">
        <f>AK16+AL16</f>
        <v>0</v>
      </c>
      <c r="AN16" s="71"/>
      <c r="AO16" s="72"/>
      <c r="AP16" s="108">
        <f>AN16+AO16</f>
        <v>0</v>
      </c>
    </row>
    <row r="17" spans="1:42" s="80" customFormat="1" ht="19.5" customHeight="1" x14ac:dyDescent="0.2">
      <c r="A17" s="75" t="s">
        <v>10</v>
      </c>
      <c r="B17" s="76" t="s">
        <v>101</v>
      </c>
      <c r="C17" s="77" t="s">
        <v>90</v>
      </c>
      <c r="D17" s="78">
        <f t="shared" ref="D17:F17" si="64">D13-D14</f>
        <v>14628.702397524663</v>
      </c>
      <c r="E17" s="79">
        <f t="shared" si="64"/>
        <v>13938.6955468423</v>
      </c>
      <c r="F17" s="69">
        <f t="shared" si="64"/>
        <v>28567.39794436696</v>
      </c>
      <c r="G17" s="78">
        <f t="shared" ref="G17:I17" si="65">G13-G14</f>
        <v>128388.69864483105</v>
      </c>
      <c r="H17" s="79">
        <f t="shared" si="65"/>
        <v>123120.65583007524</v>
      </c>
      <c r="I17" s="69">
        <f t="shared" si="65"/>
        <v>251509.35447490626</v>
      </c>
      <c r="J17" s="207">
        <f t="shared" ref="J17:O17" si="66">J13-J14</f>
        <v>8926.6499638992827</v>
      </c>
      <c r="K17" s="208">
        <f t="shared" si="66"/>
        <v>8955.1479071007161</v>
      </c>
      <c r="L17" s="192">
        <f t="shared" si="66"/>
        <v>17881.797870999999</v>
      </c>
      <c r="M17" s="78">
        <f t="shared" si="66"/>
        <v>63129.339850461532</v>
      </c>
      <c r="N17" s="79">
        <f t="shared" si="66"/>
        <v>63044.768787775247</v>
      </c>
      <c r="O17" s="69">
        <f t="shared" si="66"/>
        <v>126174.10863823679</v>
      </c>
      <c r="P17" s="78">
        <f t="shared" ref="P17:U17" si="67">P13-P14</f>
        <v>10279.124487452384</v>
      </c>
      <c r="Q17" s="79">
        <f t="shared" si="67"/>
        <v>11272.916260547619</v>
      </c>
      <c r="R17" s="69">
        <f t="shared" si="67"/>
        <v>21552.040748000003</v>
      </c>
      <c r="S17" s="78">
        <f t="shared" si="67"/>
        <v>6962.3005028968801</v>
      </c>
      <c r="T17" s="79">
        <f t="shared" si="67"/>
        <v>7818.7135481031182</v>
      </c>
      <c r="U17" s="109">
        <f t="shared" si="67"/>
        <v>14781.014051</v>
      </c>
      <c r="V17" s="78">
        <f t="shared" ref="V17:X17" si="68">V13-V14</f>
        <v>6496.5738630136984</v>
      </c>
      <c r="W17" s="79">
        <f t="shared" si="68"/>
        <v>6396.990136986301</v>
      </c>
      <c r="X17" s="69">
        <f t="shared" si="68"/>
        <v>12893.563999999998</v>
      </c>
      <c r="Y17" s="78">
        <f t="shared" ref="Y17:AA17" si="69">Y13-Y14</f>
        <v>2159.704219987902</v>
      </c>
      <c r="Z17" s="79">
        <f t="shared" si="69"/>
        <v>2177.3581473910158</v>
      </c>
      <c r="AA17" s="69">
        <f t="shared" si="69"/>
        <v>4337.0623673789178</v>
      </c>
      <c r="AB17" s="78">
        <f t="shared" ref="AB17:AD17" si="70">AB13-AB14</f>
        <v>21188.068991780819</v>
      </c>
      <c r="AC17" s="79">
        <f t="shared" si="70"/>
        <v>20487.326160219178</v>
      </c>
      <c r="AD17" s="69">
        <f t="shared" si="70"/>
        <v>41675.395152000005</v>
      </c>
      <c r="AE17" s="78">
        <f t="shared" ref="AE17:AG17" si="71">AE13-AE14</f>
        <v>14501.003775934232</v>
      </c>
      <c r="AF17" s="79">
        <f t="shared" si="71"/>
        <v>15514.443490065769</v>
      </c>
      <c r="AG17" s="69">
        <f t="shared" si="71"/>
        <v>30015.447265999999</v>
      </c>
      <c r="AH17" s="78">
        <f t="shared" ref="AH17:AJ17" si="72">AH13-AH14</f>
        <v>16096.268530130779</v>
      </c>
      <c r="AI17" s="79">
        <f t="shared" si="72"/>
        <v>15631.757469869221</v>
      </c>
      <c r="AJ17" s="69">
        <f t="shared" si="72"/>
        <v>31728.026000000005</v>
      </c>
      <c r="AK17" s="78">
        <f t="shared" ref="AK17:AP17" si="73">AK13-AK14</f>
        <v>74189.032467097262</v>
      </c>
      <c r="AL17" s="79">
        <f t="shared" si="73"/>
        <v>75392.668292902759</v>
      </c>
      <c r="AM17" s="69">
        <f t="shared" si="73"/>
        <v>149581.70076000001</v>
      </c>
      <c r="AN17" s="78">
        <f t="shared" si="73"/>
        <v>5842.6029956634684</v>
      </c>
      <c r="AO17" s="79">
        <f t="shared" si="73"/>
        <v>9940.6280043365623</v>
      </c>
      <c r="AP17" s="109">
        <f t="shared" si="73"/>
        <v>15783.231000000029</v>
      </c>
    </row>
    <row r="18" spans="1:42" s="55" customFormat="1" ht="15" x14ac:dyDescent="0.2">
      <c r="A18" s="81" t="s">
        <v>102</v>
      </c>
      <c r="B18" s="70" t="s">
        <v>103</v>
      </c>
      <c r="C18" s="66" t="s">
        <v>90</v>
      </c>
      <c r="D18" s="71">
        <f t="shared" ref="D18:F18" si="74">D19+D20+D21</f>
        <v>1117.817788850467</v>
      </c>
      <c r="E18" s="72">
        <f t="shared" si="74"/>
        <v>1136.3451555164968</v>
      </c>
      <c r="F18" s="64">
        <f t="shared" si="74"/>
        <v>2254.1629443669635</v>
      </c>
      <c r="G18" s="183">
        <f t="shared" ref="G18:I18" si="75">G19+G20+G21</f>
        <v>49494.193255007405</v>
      </c>
      <c r="H18" s="184">
        <f t="shared" si="75"/>
        <v>50314.538999565535</v>
      </c>
      <c r="I18" s="64">
        <f t="shared" si="75"/>
        <v>99808.73225457294</v>
      </c>
      <c r="J18" s="183">
        <f t="shared" ref="J18:O18" si="76">J19+J20+J21</f>
        <v>3087.0194017835611</v>
      </c>
      <c r="K18" s="184">
        <f t="shared" si="76"/>
        <v>3138.1854692164379</v>
      </c>
      <c r="L18" s="194">
        <f t="shared" si="76"/>
        <v>6225.204870999999</v>
      </c>
      <c r="M18" s="71">
        <f t="shared" si="76"/>
        <v>31891.749552111934</v>
      </c>
      <c r="N18" s="72">
        <f t="shared" si="76"/>
        <v>32420.342086124838</v>
      </c>
      <c r="O18" s="64">
        <f t="shared" si="76"/>
        <v>64312.091638236772</v>
      </c>
      <c r="P18" s="71">
        <f t="shared" ref="P18:U18" si="77">P19+P20+P21</f>
        <v>1648.0232229808216</v>
      </c>
      <c r="Q18" s="72">
        <f t="shared" si="77"/>
        <v>1675.338525019178</v>
      </c>
      <c r="R18" s="64">
        <f t="shared" si="77"/>
        <v>3323.3617479999994</v>
      </c>
      <c r="S18" s="71">
        <f t="shared" si="77"/>
        <v>1679.8902828246576</v>
      </c>
      <c r="T18" s="72">
        <f t="shared" si="77"/>
        <v>1707.7337681753422</v>
      </c>
      <c r="U18" s="107">
        <f t="shared" si="77"/>
        <v>3387.6240509999998</v>
      </c>
      <c r="V18" s="71">
        <f t="shared" ref="V18:X18" si="78">V19+V20+V21</f>
        <v>718.46586301369859</v>
      </c>
      <c r="W18" s="72">
        <f t="shared" si="78"/>
        <v>730.37413698630132</v>
      </c>
      <c r="X18" s="64">
        <f t="shared" si="78"/>
        <v>1448.84</v>
      </c>
      <c r="Y18" s="71">
        <f t="shared" ref="Y18:AA18" si="79">Y19+Y20+Y21</f>
        <v>531.15821998790159</v>
      </c>
      <c r="Z18" s="72">
        <f t="shared" si="79"/>
        <v>539.961947391016</v>
      </c>
      <c r="AA18" s="64">
        <f t="shared" si="79"/>
        <v>1071.1201673789176</v>
      </c>
      <c r="AB18" s="71">
        <f t="shared" ref="AB18:AD18" si="80">AB19+AB20+AB21</f>
        <v>2452.5509917808217</v>
      </c>
      <c r="AC18" s="72">
        <f t="shared" si="80"/>
        <v>2493.2010082191778</v>
      </c>
      <c r="AD18" s="64">
        <f t="shared" si="80"/>
        <v>4945.7519999999995</v>
      </c>
      <c r="AE18" s="71">
        <f t="shared" ref="AE18:AG18" si="81">AE19+AE20+AE21</f>
        <v>3152.0219045095891</v>
      </c>
      <c r="AF18" s="72">
        <f t="shared" si="81"/>
        <v>3204.2653614904111</v>
      </c>
      <c r="AG18" s="64">
        <f t="shared" si="81"/>
        <v>6356.2872660000003</v>
      </c>
      <c r="AH18" s="71">
        <f t="shared" ref="AH18:AJ18" si="82">AH19+AH20+AH21</f>
        <v>778.34958904109578</v>
      </c>
      <c r="AI18" s="72">
        <f t="shared" si="82"/>
        <v>791.25041095890413</v>
      </c>
      <c r="AJ18" s="64">
        <f t="shared" si="82"/>
        <v>1569.6</v>
      </c>
      <c r="AK18" s="71">
        <f t="shared" ref="AK18:AP18" si="83">AK19+AK20+AK21</f>
        <v>31948.346080986303</v>
      </c>
      <c r="AL18" s="72">
        <f t="shared" si="83"/>
        <v>32477.876679013702</v>
      </c>
      <c r="AM18" s="64">
        <f t="shared" si="83"/>
        <v>64426.222760000004</v>
      </c>
      <c r="AN18" s="71">
        <f t="shared" si="83"/>
        <v>4696.5165917808217</v>
      </c>
      <c r="AO18" s="72">
        <f t="shared" si="83"/>
        <v>4774.3594082191785</v>
      </c>
      <c r="AP18" s="180">
        <f t="shared" si="83"/>
        <v>9470.8760000000002</v>
      </c>
    </row>
    <row r="19" spans="1:42" s="55" customFormat="1" ht="15" x14ac:dyDescent="0.2">
      <c r="A19" s="82" t="s">
        <v>104</v>
      </c>
      <c r="B19" s="83" t="s">
        <v>105</v>
      </c>
      <c r="C19" s="74" t="s">
        <v>90</v>
      </c>
      <c r="D19" s="122">
        <v>29.0686</v>
      </c>
      <c r="E19" s="123">
        <v>29.5504</v>
      </c>
      <c r="F19" s="67">
        <f>D19+E19</f>
        <v>58.619</v>
      </c>
      <c r="G19" s="201">
        <v>28906.380858030137</v>
      </c>
      <c r="H19" s="123">
        <v>29385.492142969862</v>
      </c>
      <c r="I19" s="67">
        <f>G19+H19</f>
        <v>58291.873001</v>
      </c>
      <c r="J19" s="185">
        <v>2787.5660593178077</v>
      </c>
      <c r="K19" s="186">
        <v>2833.7688116821914</v>
      </c>
      <c r="L19" s="193">
        <f>J19+K19</f>
        <v>5621.3348709999991</v>
      </c>
      <c r="M19" s="122">
        <v>25336.033727660273</v>
      </c>
      <c r="N19" s="123">
        <v>25755.967988339718</v>
      </c>
      <c r="O19" s="67">
        <f>M19+N19</f>
        <v>51092.001715999992</v>
      </c>
      <c r="P19" s="122">
        <v>818.69808325479448</v>
      </c>
      <c r="Q19" s="123">
        <v>832.26766474520537</v>
      </c>
      <c r="R19" s="67">
        <f>P19+Q19</f>
        <v>1650.9657479999998</v>
      </c>
      <c r="S19" s="122">
        <v>1332.1248170712327</v>
      </c>
      <c r="T19" s="123">
        <v>1354.2042339287671</v>
      </c>
      <c r="U19" s="108">
        <f>S19+T19</f>
        <v>2686.3290509999997</v>
      </c>
      <c r="V19" s="122"/>
      <c r="W19" s="123"/>
      <c r="X19" s="67">
        <f>V19+W19</f>
        <v>0</v>
      </c>
      <c r="Y19" s="122"/>
      <c r="Z19" s="123"/>
      <c r="AA19" s="67">
        <f>Y19+Z19</f>
        <v>0</v>
      </c>
      <c r="AB19" s="122"/>
      <c r="AC19" s="123"/>
      <c r="AD19" s="67">
        <f>AB19+AC19</f>
        <v>0</v>
      </c>
      <c r="AE19" s="122">
        <v>2275.7374305369867</v>
      </c>
      <c r="AF19" s="123">
        <v>2313.4568354630137</v>
      </c>
      <c r="AG19" s="67">
        <f>AE19+AF19</f>
        <v>4589.1942660000004</v>
      </c>
      <c r="AH19" s="122"/>
      <c r="AI19" s="123"/>
      <c r="AJ19" s="67">
        <f>AH19+AI19</f>
        <v>0</v>
      </c>
      <c r="AK19" s="122"/>
      <c r="AL19" s="123"/>
      <c r="AM19" s="67">
        <f>AK19+AL19</f>
        <v>0</v>
      </c>
      <c r="AN19" s="122">
        <v>3086.8381216054804</v>
      </c>
      <c r="AO19" s="123">
        <v>3138.0011843945213</v>
      </c>
      <c r="AP19" s="108">
        <f>AN19+AO19</f>
        <v>6224.8393060000017</v>
      </c>
    </row>
    <row r="20" spans="1:42" s="55" customFormat="1" ht="15" x14ac:dyDescent="0.2">
      <c r="A20" s="84" t="s">
        <v>106</v>
      </c>
      <c r="B20" s="73" t="s">
        <v>107</v>
      </c>
      <c r="C20" s="66" t="s">
        <v>90</v>
      </c>
      <c r="D20" s="71">
        <v>882.99309980937096</v>
      </c>
      <c r="E20" s="72">
        <v>897.62834455759275</v>
      </c>
      <c r="F20" s="64">
        <f>D20+E20</f>
        <v>1780.6214443669637</v>
      </c>
      <c r="G20" s="200">
        <v>18364.884451771792</v>
      </c>
      <c r="H20" s="72">
        <v>18669.274801801159</v>
      </c>
      <c r="I20" s="64">
        <f>G20+H20</f>
        <v>37034.159253572951</v>
      </c>
      <c r="J20" s="183">
        <v>294.06301369863013</v>
      </c>
      <c r="K20" s="184">
        <v>298.93698630136987</v>
      </c>
      <c r="L20" s="194">
        <f>J20+K20</f>
        <v>593</v>
      </c>
      <c r="M20" s="71">
        <v>5228.536051848926</v>
      </c>
      <c r="N20" s="72">
        <v>5315.1968703878583</v>
      </c>
      <c r="O20" s="64">
        <f>M20+N20</f>
        <v>10543.732922236784</v>
      </c>
      <c r="P20" s="71">
        <v>762.18356164383556</v>
      </c>
      <c r="Q20" s="72">
        <v>774.81643835616444</v>
      </c>
      <c r="R20" s="64">
        <f>P20+Q20</f>
        <v>1537</v>
      </c>
      <c r="S20" s="71">
        <v>259.35068493150686</v>
      </c>
      <c r="T20" s="72">
        <v>263.64931506849314</v>
      </c>
      <c r="U20" s="107">
        <f>S20+T20</f>
        <v>523</v>
      </c>
      <c r="V20" s="71">
        <v>643.66575342465751</v>
      </c>
      <c r="W20" s="72">
        <v>654.33424657534249</v>
      </c>
      <c r="X20" s="64">
        <f>V20+W20</f>
        <v>1298</v>
      </c>
      <c r="Y20" s="71">
        <v>188.43835616438355</v>
      </c>
      <c r="Z20" s="72">
        <v>191.56164383561645</v>
      </c>
      <c r="AA20" s="64">
        <f>Y20+Z20</f>
        <v>380</v>
      </c>
      <c r="AB20" s="71">
        <v>2020.2575342465752</v>
      </c>
      <c r="AC20" s="72">
        <v>2053.7424657534248</v>
      </c>
      <c r="AD20" s="64">
        <f>AB20+AC20</f>
        <v>4074</v>
      </c>
      <c r="AE20" s="71">
        <v>584.158904109589</v>
      </c>
      <c r="AF20" s="72">
        <v>593.841095890411</v>
      </c>
      <c r="AG20" s="64">
        <f>AE20+AF20</f>
        <v>1178</v>
      </c>
      <c r="AH20" s="71">
        <v>740.86027397260273</v>
      </c>
      <c r="AI20" s="72">
        <v>753.13972602739727</v>
      </c>
      <c r="AJ20" s="64">
        <f>AH20+AI20</f>
        <v>1494</v>
      </c>
      <c r="AK20" s="71">
        <v>1030.4602739726029</v>
      </c>
      <c r="AL20" s="72">
        <v>1047.5397260273971</v>
      </c>
      <c r="AM20" s="64">
        <f>AK20+AL20</f>
        <v>2078</v>
      </c>
      <c r="AN20" s="71">
        <v>583.41506849315067</v>
      </c>
      <c r="AO20" s="72">
        <v>593.08493150684933</v>
      </c>
      <c r="AP20" s="107">
        <f>AN20+AO20</f>
        <v>1176.5</v>
      </c>
    </row>
    <row r="21" spans="1:42" s="55" customFormat="1" ht="15" x14ac:dyDescent="0.2">
      <c r="A21" s="84" t="s">
        <v>108</v>
      </c>
      <c r="B21" s="73" t="s">
        <v>109</v>
      </c>
      <c r="C21" s="66" t="s">
        <v>90</v>
      </c>
      <c r="D21" s="71">
        <v>205.75608904109598</v>
      </c>
      <c r="E21" s="72">
        <v>209.16641095890415</v>
      </c>
      <c r="F21" s="67">
        <f>D21+E21</f>
        <v>414.92250000000013</v>
      </c>
      <c r="G21" s="200">
        <v>2222.9279452054743</v>
      </c>
      <c r="H21" s="72">
        <v>2259.7720547945155</v>
      </c>
      <c r="I21" s="67">
        <f>G21+H21</f>
        <v>4482.6999999999898</v>
      </c>
      <c r="J21" s="183">
        <v>5.3903287671232336</v>
      </c>
      <c r="K21" s="184">
        <v>5.4796712328766572</v>
      </c>
      <c r="L21" s="193">
        <f>J21+K21</f>
        <v>10.869999999999891</v>
      </c>
      <c r="M21" s="71">
        <v>1327.179772602738</v>
      </c>
      <c r="N21" s="72">
        <v>1349.1772273972583</v>
      </c>
      <c r="O21" s="67">
        <f>M21+N21</f>
        <v>2676.3569999999963</v>
      </c>
      <c r="P21" s="71">
        <v>67.141578082191756</v>
      </c>
      <c r="Q21" s="72">
        <v>68.254421917808202</v>
      </c>
      <c r="R21" s="67">
        <f>P21+Q21</f>
        <v>135.39599999999996</v>
      </c>
      <c r="S21" s="71">
        <v>88.414780821917844</v>
      </c>
      <c r="T21" s="72">
        <v>89.880219178082228</v>
      </c>
      <c r="U21" s="108">
        <f>S21+T21</f>
        <v>178.29500000000007</v>
      </c>
      <c r="V21" s="71">
        <v>74.800109589041057</v>
      </c>
      <c r="W21" s="72">
        <v>76.039890410958861</v>
      </c>
      <c r="X21" s="67">
        <f>V21+W21</f>
        <v>150.83999999999992</v>
      </c>
      <c r="Y21" s="71">
        <v>342.71986382351804</v>
      </c>
      <c r="Z21" s="72">
        <v>348.40030355539955</v>
      </c>
      <c r="AA21" s="67">
        <f>Y21+Z21</f>
        <v>691.12016737891759</v>
      </c>
      <c r="AB21" s="71">
        <v>432.29345753424633</v>
      </c>
      <c r="AC21" s="72">
        <v>439.45854246575317</v>
      </c>
      <c r="AD21" s="67">
        <f>AB21+AC21</f>
        <v>871.7519999999995</v>
      </c>
      <c r="AE21" s="71">
        <v>292.1255698630136</v>
      </c>
      <c r="AF21" s="72">
        <v>296.96743013698625</v>
      </c>
      <c r="AG21" s="67">
        <f>AE21+AF21</f>
        <v>589.09299999999985</v>
      </c>
      <c r="AH21" s="71">
        <v>37.489315068493106</v>
      </c>
      <c r="AI21" s="72">
        <v>38.110684931506803</v>
      </c>
      <c r="AJ21" s="67">
        <f>AH21+AI21</f>
        <v>75.599999999999909</v>
      </c>
      <c r="AK21" s="71">
        <v>30917.885807013699</v>
      </c>
      <c r="AL21" s="72">
        <v>31430.336952986305</v>
      </c>
      <c r="AM21" s="67">
        <f>AK21+AL21</f>
        <v>62348.222760000004</v>
      </c>
      <c r="AN21" s="71">
        <v>1026.2634016821908</v>
      </c>
      <c r="AO21" s="72">
        <v>1043.2732923178078</v>
      </c>
      <c r="AP21" s="108">
        <f>AN21+AO21</f>
        <v>2069.5366939999985</v>
      </c>
    </row>
    <row r="22" spans="1:42" s="55" customFormat="1" ht="14.25" x14ac:dyDescent="0.2">
      <c r="A22" s="85" t="s">
        <v>41</v>
      </c>
      <c r="B22" s="68" t="s">
        <v>110</v>
      </c>
      <c r="C22" s="66" t="s">
        <v>90</v>
      </c>
      <c r="D22" s="114">
        <f t="shared" ref="D22:U22" si="84">D17-D18</f>
        <v>13510.884608674196</v>
      </c>
      <c r="E22" s="116">
        <f t="shared" si="84"/>
        <v>12802.350391325803</v>
      </c>
      <c r="F22" s="117">
        <f t="shared" si="84"/>
        <v>26313.234999999997</v>
      </c>
      <c r="G22" s="213">
        <f t="shared" ref="G22:I22" si="85">G17-G18</f>
        <v>78894.505389823637</v>
      </c>
      <c r="H22" s="214">
        <f t="shared" si="85"/>
        <v>72806.116830509709</v>
      </c>
      <c r="I22" s="215">
        <f t="shared" si="85"/>
        <v>151700.62222033332</v>
      </c>
      <c r="J22" s="205">
        <f t="shared" ref="J22:L22" si="86">J17-J18</f>
        <v>5839.6305621157217</v>
      </c>
      <c r="K22" s="206">
        <f t="shared" si="86"/>
        <v>5816.9624378842782</v>
      </c>
      <c r="L22" s="195">
        <f t="shared" si="86"/>
        <v>11656.593000000001</v>
      </c>
      <c r="M22" s="114">
        <f t="shared" ref="M22:O22" si="87">M17-M18</f>
        <v>31237.590298349598</v>
      </c>
      <c r="N22" s="116">
        <f t="shared" si="87"/>
        <v>30624.426701650409</v>
      </c>
      <c r="O22" s="117">
        <f t="shared" si="87"/>
        <v>61862.017000000022</v>
      </c>
      <c r="P22" s="114">
        <f t="shared" si="84"/>
        <v>8631.1012644715629</v>
      </c>
      <c r="Q22" s="116">
        <f t="shared" si="84"/>
        <v>9597.5777355284408</v>
      </c>
      <c r="R22" s="117">
        <f t="shared" si="84"/>
        <v>18228.679000000004</v>
      </c>
      <c r="S22" s="114">
        <f t="shared" si="84"/>
        <v>5282.4102200722227</v>
      </c>
      <c r="T22" s="116">
        <f t="shared" si="84"/>
        <v>6110.9797799277758</v>
      </c>
      <c r="U22" s="118">
        <f t="shared" si="84"/>
        <v>11393.39</v>
      </c>
      <c r="V22" s="114">
        <f t="shared" ref="V22:X22" si="88">V17-V18</f>
        <v>5778.1080000000002</v>
      </c>
      <c r="W22" s="116">
        <f t="shared" si="88"/>
        <v>5666.616</v>
      </c>
      <c r="X22" s="117">
        <f t="shared" si="88"/>
        <v>11444.723999999998</v>
      </c>
      <c r="Y22" s="114">
        <f t="shared" ref="Y22:AD22" si="89">Y17-Y18</f>
        <v>1628.5460000000003</v>
      </c>
      <c r="Z22" s="116">
        <f t="shared" si="89"/>
        <v>1637.3961999999997</v>
      </c>
      <c r="AA22" s="117">
        <f t="shared" si="89"/>
        <v>3265.9422000000004</v>
      </c>
      <c r="AB22" s="114">
        <f t="shared" si="89"/>
        <v>18735.517999999996</v>
      </c>
      <c r="AC22" s="116">
        <f t="shared" si="89"/>
        <v>17994.125152000001</v>
      </c>
      <c r="AD22" s="117">
        <f t="shared" si="89"/>
        <v>36729.643152000004</v>
      </c>
      <c r="AE22" s="114">
        <f t="shared" ref="AE22:AG22" si="90">AE17-AE18</f>
        <v>11348.981871424643</v>
      </c>
      <c r="AF22" s="116">
        <f t="shared" si="90"/>
        <v>12310.178128575357</v>
      </c>
      <c r="AG22" s="117">
        <f t="shared" si="90"/>
        <v>23659.16</v>
      </c>
      <c r="AH22" s="114">
        <f t="shared" ref="AH22:AP22" si="91">AH17-AH18</f>
        <v>15317.918941089683</v>
      </c>
      <c r="AI22" s="116">
        <f t="shared" si="91"/>
        <v>14840.507058910316</v>
      </c>
      <c r="AJ22" s="117">
        <f t="shared" si="91"/>
        <v>30158.426000000007</v>
      </c>
      <c r="AK22" s="114">
        <f t="shared" si="91"/>
        <v>42240.68638611096</v>
      </c>
      <c r="AL22" s="116">
        <f t="shared" si="91"/>
        <v>42914.791613889058</v>
      </c>
      <c r="AM22" s="117">
        <f t="shared" si="91"/>
        <v>85155.478000000003</v>
      </c>
      <c r="AN22" s="114">
        <f t="shared" si="91"/>
        <v>1146.0864038826467</v>
      </c>
      <c r="AO22" s="116">
        <f t="shared" si="91"/>
        <v>5166.2685961173838</v>
      </c>
      <c r="AP22" s="181">
        <f t="shared" si="91"/>
        <v>6312.3550000000287</v>
      </c>
    </row>
    <row r="23" spans="1:42" s="55" customFormat="1" ht="15" x14ac:dyDescent="0.2">
      <c r="A23" s="85"/>
      <c r="B23" s="86" t="s">
        <v>111</v>
      </c>
      <c r="C23" s="66"/>
      <c r="D23" s="71">
        <f t="shared" ref="D23:F23" si="92">D24+D31+D34</f>
        <v>13510.884608674196</v>
      </c>
      <c r="E23" s="72">
        <f t="shared" si="92"/>
        <v>12802.350391325803</v>
      </c>
      <c r="F23" s="67">
        <f t="shared" si="92"/>
        <v>26313.235000000001</v>
      </c>
      <c r="G23" s="211">
        <f t="shared" ref="G23:I23" si="93">G24+G31+G34</f>
        <v>78894.505389823651</v>
      </c>
      <c r="H23" s="212">
        <f t="shared" si="93"/>
        <v>72806.116830509694</v>
      </c>
      <c r="I23" s="216">
        <f t="shared" si="93"/>
        <v>151700.62222033335</v>
      </c>
      <c r="J23" s="183">
        <f t="shared" ref="J23:O23" si="94">J24+J31+J34</f>
        <v>5839.6305621157217</v>
      </c>
      <c r="K23" s="184">
        <f t="shared" si="94"/>
        <v>5816.9624378842782</v>
      </c>
      <c r="L23" s="193">
        <f t="shared" si="94"/>
        <v>11656.593000000003</v>
      </c>
      <c r="M23" s="71">
        <f t="shared" si="94"/>
        <v>31237.590298349598</v>
      </c>
      <c r="N23" s="72">
        <f t="shared" si="94"/>
        <v>30624.426701650405</v>
      </c>
      <c r="O23" s="67">
        <f t="shared" si="94"/>
        <v>61862.017</v>
      </c>
      <c r="P23" s="71">
        <f t="shared" ref="P23:U23" si="95">P24+P31+P34</f>
        <v>8631.1012644715629</v>
      </c>
      <c r="Q23" s="72">
        <f t="shared" si="95"/>
        <v>9597.5777355284372</v>
      </c>
      <c r="R23" s="67">
        <f t="shared" si="95"/>
        <v>18228.679</v>
      </c>
      <c r="S23" s="71">
        <f t="shared" si="95"/>
        <v>5282.4102200722227</v>
      </c>
      <c r="T23" s="72">
        <f t="shared" si="95"/>
        <v>6110.9797799277758</v>
      </c>
      <c r="U23" s="108">
        <f t="shared" si="95"/>
        <v>11393.39</v>
      </c>
      <c r="V23" s="71">
        <f t="shared" ref="V23:X23" si="96">V24+V31+V34</f>
        <v>5778.1080000000002</v>
      </c>
      <c r="W23" s="72">
        <f t="shared" si="96"/>
        <v>5666.6159999999982</v>
      </c>
      <c r="X23" s="67">
        <f t="shared" si="96"/>
        <v>11444.723999999998</v>
      </c>
      <c r="Y23" s="71">
        <f t="shared" ref="Y23:AA23" si="97">Y24+Y31+Y34</f>
        <v>1628.546</v>
      </c>
      <c r="Z23" s="72">
        <f t="shared" si="97"/>
        <v>1637.3961999999999</v>
      </c>
      <c r="AA23" s="67">
        <f t="shared" si="97"/>
        <v>3265.9422</v>
      </c>
      <c r="AB23" s="71">
        <f t="shared" ref="AB23:AD23" si="98">AB24+AB31+AB34</f>
        <v>18735.518</v>
      </c>
      <c r="AC23" s="72">
        <f t="shared" si="98"/>
        <v>17994.125152000001</v>
      </c>
      <c r="AD23" s="67">
        <f t="shared" si="98"/>
        <v>36729.643152000004</v>
      </c>
      <c r="AE23" s="71">
        <f t="shared" ref="AE23:AG23" si="99">AE24+AE31+AE34</f>
        <v>11348.981871424643</v>
      </c>
      <c r="AF23" s="72">
        <f t="shared" si="99"/>
        <v>12310.178128575357</v>
      </c>
      <c r="AG23" s="67">
        <f t="shared" si="99"/>
        <v>23659.16</v>
      </c>
      <c r="AH23" s="71">
        <f t="shared" ref="AH23:AJ23" si="100">AH24+AH31+AH34</f>
        <v>15317.918941089685</v>
      </c>
      <c r="AI23" s="72">
        <f t="shared" si="100"/>
        <v>14840.507058910316</v>
      </c>
      <c r="AJ23" s="67">
        <f t="shared" si="100"/>
        <v>30158.425999999999</v>
      </c>
      <c r="AK23" s="71">
        <f t="shared" ref="AK23:AP23" si="101">AK24+AK31+AK34</f>
        <v>42240.68638611096</v>
      </c>
      <c r="AL23" s="72">
        <f t="shared" si="101"/>
        <v>42914.79161388905</v>
      </c>
      <c r="AM23" s="67">
        <f t="shared" si="101"/>
        <v>85155.478000000017</v>
      </c>
      <c r="AN23" s="71">
        <f t="shared" si="101"/>
        <v>1146.0864038826467</v>
      </c>
      <c r="AO23" s="72">
        <f t="shared" si="101"/>
        <v>5166.2685961173529</v>
      </c>
      <c r="AP23" s="179">
        <f t="shared" si="101"/>
        <v>6312.3550000000005</v>
      </c>
    </row>
    <row r="24" spans="1:42" s="80" customFormat="1" ht="14.25" x14ac:dyDescent="0.2">
      <c r="A24" s="178" t="s">
        <v>112</v>
      </c>
      <c r="B24" s="87" t="s">
        <v>113</v>
      </c>
      <c r="C24" s="88" t="s">
        <v>90</v>
      </c>
      <c r="D24" s="89">
        <f t="shared" ref="D24:F24" si="102">D25+D28</f>
        <v>12368.311352297418</v>
      </c>
      <c r="E24" s="90">
        <f t="shared" si="102"/>
        <v>11734.722647702582</v>
      </c>
      <c r="F24" s="69">
        <f t="shared" si="102"/>
        <v>24103.034</v>
      </c>
      <c r="G24" s="89">
        <f t="shared" ref="G24:I24" si="103">G25+G28</f>
        <v>55425.427100937093</v>
      </c>
      <c r="H24" s="90">
        <f t="shared" si="103"/>
        <v>49669.602557396247</v>
      </c>
      <c r="I24" s="69">
        <f t="shared" si="103"/>
        <v>105095.02965833334</v>
      </c>
      <c r="J24" s="209">
        <f t="shared" ref="J24:O24" si="104">J25+J28</f>
        <v>5375.2200728798671</v>
      </c>
      <c r="K24" s="210">
        <f t="shared" si="104"/>
        <v>5119.2879271201336</v>
      </c>
      <c r="L24" s="192">
        <f t="shared" si="104"/>
        <v>10494.508000000002</v>
      </c>
      <c r="M24" s="89">
        <f t="shared" si="104"/>
        <v>24685.616096611153</v>
      </c>
      <c r="N24" s="90">
        <f t="shared" si="104"/>
        <v>25549.991903388847</v>
      </c>
      <c r="O24" s="69">
        <f t="shared" si="104"/>
        <v>50235.608</v>
      </c>
      <c r="P24" s="89">
        <f t="shared" ref="P24:U24" si="105">P25+P28</f>
        <v>8046.2256875991079</v>
      </c>
      <c r="Q24" s="90">
        <f t="shared" si="105"/>
        <v>8615.0833124008932</v>
      </c>
      <c r="R24" s="69">
        <f t="shared" si="105"/>
        <v>16661.309000000001</v>
      </c>
      <c r="S24" s="89">
        <f t="shared" si="105"/>
        <v>4887.0006709344052</v>
      </c>
      <c r="T24" s="90">
        <f t="shared" si="105"/>
        <v>5608.7093290655939</v>
      </c>
      <c r="U24" s="109">
        <f t="shared" si="105"/>
        <v>10495.71</v>
      </c>
      <c r="V24" s="89">
        <f t="shared" ref="V24:X24" si="106">V25+V28</f>
        <v>4936.3999999999996</v>
      </c>
      <c r="W24" s="90">
        <f t="shared" si="106"/>
        <v>4891.5299999999988</v>
      </c>
      <c r="X24" s="69">
        <f t="shared" si="106"/>
        <v>9827.9299999999985</v>
      </c>
      <c r="Y24" s="89">
        <f t="shared" ref="Y24:AA24" si="107">Y25+Y28</f>
        <v>1430.6410000000001</v>
      </c>
      <c r="Z24" s="90">
        <f t="shared" si="107"/>
        <v>1481.5239999999999</v>
      </c>
      <c r="AA24" s="69">
        <f t="shared" si="107"/>
        <v>2912.165</v>
      </c>
      <c r="AB24" s="89">
        <f t="shared" ref="AB24:AD24" si="108">AB25+AB28</f>
        <v>15931.508000000002</v>
      </c>
      <c r="AC24" s="90">
        <f t="shared" si="108"/>
        <v>15749.380000000001</v>
      </c>
      <c r="AD24" s="69">
        <f t="shared" si="108"/>
        <v>31680.888000000003</v>
      </c>
      <c r="AE24" s="89">
        <f t="shared" ref="AE24:AG24" si="109">AE25+AE28</f>
        <v>10597.043504056861</v>
      </c>
      <c r="AF24" s="90">
        <f t="shared" si="109"/>
        <v>9767.8264959431381</v>
      </c>
      <c r="AG24" s="69">
        <f t="shared" si="109"/>
        <v>20364.87</v>
      </c>
      <c r="AH24" s="89">
        <f t="shared" ref="AH24:AJ24" si="110">AH25+AH28</f>
        <v>14802.573461565431</v>
      </c>
      <c r="AI24" s="90">
        <f t="shared" si="110"/>
        <v>14356.78653843457</v>
      </c>
      <c r="AJ24" s="69">
        <f t="shared" si="110"/>
        <v>29159.360000000001</v>
      </c>
      <c r="AK24" s="89">
        <f t="shared" ref="AK24:AP24" si="111">AK25+AK28</f>
        <v>36057.366151365168</v>
      </c>
      <c r="AL24" s="90">
        <f t="shared" si="111"/>
        <v>36598.60184863484</v>
      </c>
      <c r="AM24" s="69">
        <f t="shared" si="111"/>
        <v>72655.968000000008</v>
      </c>
      <c r="AN24" s="89">
        <f t="shared" si="111"/>
        <v>1106.578729433156</v>
      </c>
      <c r="AO24" s="90">
        <f t="shared" si="111"/>
        <v>5122.3972705668439</v>
      </c>
      <c r="AP24" s="182">
        <f t="shared" si="111"/>
        <v>6228.9759999999997</v>
      </c>
    </row>
    <row r="25" spans="1:42" s="55" customFormat="1" ht="15" x14ac:dyDescent="0.2">
      <c r="A25" s="84"/>
      <c r="B25" s="73" t="s">
        <v>114</v>
      </c>
      <c r="C25" s="66" t="s">
        <v>90</v>
      </c>
      <c r="D25" s="71">
        <f t="shared" ref="D25:E25" si="112">D26+D27</f>
        <v>0</v>
      </c>
      <c r="E25" s="72">
        <f t="shared" si="112"/>
        <v>0</v>
      </c>
      <c r="F25" s="108">
        <f t="shared" ref="F25:F27" si="113">D25+E25</f>
        <v>0</v>
      </c>
      <c r="G25" s="183">
        <f t="shared" ref="G25:H25" si="114">G26+G27</f>
        <v>55425.427100937093</v>
      </c>
      <c r="H25" s="184">
        <f t="shared" si="114"/>
        <v>49669.602557396247</v>
      </c>
      <c r="I25" s="179">
        <f t="shared" ref="I25:I30" si="115">G25+H25</f>
        <v>105095.02965833334</v>
      </c>
      <c r="J25" s="183">
        <f t="shared" ref="J25:K25" si="116">J26+J27</f>
        <v>0</v>
      </c>
      <c r="K25" s="184">
        <f t="shared" si="116"/>
        <v>0</v>
      </c>
      <c r="L25" s="179">
        <f t="shared" ref="L25:L30" si="117">J25+K25</f>
        <v>0</v>
      </c>
      <c r="M25" s="71">
        <f t="shared" ref="M25:N25" si="118">M26+M27</f>
        <v>24685.616096611153</v>
      </c>
      <c r="N25" s="72">
        <f t="shared" si="118"/>
        <v>25549.991903388847</v>
      </c>
      <c r="O25" s="108">
        <f t="shared" ref="O25:O30" si="119">M25+N25</f>
        <v>50235.608</v>
      </c>
      <c r="P25" s="71">
        <f t="shared" ref="P25:Q25" si="120">P26+P27</f>
        <v>0</v>
      </c>
      <c r="Q25" s="72">
        <f t="shared" si="120"/>
        <v>0</v>
      </c>
      <c r="R25" s="108">
        <f t="shared" ref="R25:R30" si="121">P25+Q25</f>
        <v>0</v>
      </c>
      <c r="S25" s="71">
        <f t="shared" ref="S25:T25" si="122">S26+S27</f>
        <v>0</v>
      </c>
      <c r="T25" s="72">
        <f t="shared" si="122"/>
        <v>0</v>
      </c>
      <c r="U25" s="108">
        <f t="shared" ref="U25:U30" si="123">S25+T25</f>
        <v>0</v>
      </c>
      <c r="V25" s="71">
        <f t="shared" ref="V25:W25" si="124">V26+V27</f>
        <v>0</v>
      </c>
      <c r="W25" s="72">
        <f t="shared" si="124"/>
        <v>0</v>
      </c>
      <c r="X25" s="108">
        <f t="shared" ref="X25:X30" si="125">V25+W25</f>
        <v>0</v>
      </c>
      <c r="Y25" s="71">
        <f t="shared" ref="Y25:Z25" si="126">Y26+Y27</f>
        <v>0</v>
      </c>
      <c r="Z25" s="72">
        <f t="shared" si="126"/>
        <v>0</v>
      </c>
      <c r="AA25" s="108">
        <f t="shared" ref="AA25:AA30" si="127">Y25+Z25</f>
        <v>0</v>
      </c>
      <c r="AB25" s="71">
        <f t="shared" ref="AB25:AC25" si="128">AB26+AB27</f>
        <v>0</v>
      </c>
      <c r="AC25" s="72">
        <f t="shared" si="128"/>
        <v>0</v>
      </c>
      <c r="AD25" s="108">
        <f t="shared" ref="AD25:AD30" si="129">AB25+AC25</f>
        <v>0</v>
      </c>
      <c r="AE25" s="71">
        <f t="shared" ref="AE25:AF25" si="130">AE26+AE27</f>
        <v>0</v>
      </c>
      <c r="AF25" s="72">
        <f t="shared" si="130"/>
        <v>0</v>
      </c>
      <c r="AG25" s="108">
        <f t="shared" ref="AG25:AG30" si="131">AE25+AF25</f>
        <v>0</v>
      </c>
      <c r="AH25" s="71">
        <f t="shared" ref="AH25:AI25" si="132">AH26+AH27</f>
        <v>0</v>
      </c>
      <c r="AI25" s="72">
        <f t="shared" si="132"/>
        <v>0</v>
      </c>
      <c r="AJ25" s="108">
        <f t="shared" ref="AJ25:AJ30" si="133">AH25+AI25</f>
        <v>0</v>
      </c>
      <c r="AK25" s="71">
        <f t="shared" ref="AK25:AL25" si="134">AK26+AK27</f>
        <v>36057.366151365168</v>
      </c>
      <c r="AL25" s="72">
        <f t="shared" si="134"/>
        <v>36598.60184863484</v>
      </c>
      <c r="AM25" s="108">
        <f t="shared" ref="AM25:AM30" si="135">AK25+AL25</f>
        <v>72655.968000000008</v>
      </c>
      <c r="AN25" s="71">
        <f t="shared" ref="AN25:AO25" si="136">AN26+AN27</f>
        <v>0</v>
      </c>
      <c r="AO25" s="72">
        <f t="shared" si="136"/>
        <v>0</v>
      </c>
      <c r="AP25" s="108">
        <f t="shared" ref="AP25:AP30" si="137">AN25+AO25</f>
        <v>0</v>
      </c>
    </row>
    <row r="26" spans="1:42" s="55" customFormat="1" ht="15" x14ac:dyDescent="0.2">
      <c r="A26" s="61"/>
      <c r="B26" s="92" t="s">
        <v>115</v>
      </c>
      <c r="C26" s="63" t="s">
        <v>90</v>
      </c>
      <c r="D26" s="121"/>
      <c r="E26" s="115"/>
      <c r="F26" s="108">
        <f t="shared" si="113"/>
        <v>0</v>
      </c>
      <c r="G26" s="121">
        <v>23109.33192723789</v>
      </c>
      <c r="H26" s="115">
        <v>26750.922496804658</v>
      </c>
      <c r="I26" s="108">
        <f t="shared" si="115"/>
        <v>49860.254424042549</v>
      </c>
      <c r="J26" s="204"/>
      <c r="K26" s="191"/>
      <c r="L26" s="179">
        <f t="shared" si="117"/>
        <v>0</v>
      </c>
      <c r="M26" s="121">
        <v>2526.452842374641</v>
      </c>
      <c r="N26" s="115">
        <v>2883.7577642459532</v>
      </c>
      <c r="O26" s="108">
        <f t="shared" si="119"/>
        <v>5410.2106066205943</v>
      </c>
      <c r="P26" s="121"/>
      <c r="Q26" s="115"/>
      <c r="R26" s="108">
        <f t="shared" si="121"/>
        <v>0</v>
      </c>
      <c r="S26" s="121"/>
      <c r="T26" s="115"/>
      <c r="U26" s="108">
        <f t="shared" si="123"/>
        <v>0</v>
      </c>
      <c r="V26" s="121"/>
      <c r="W26" s="115"/>
      <c r="X26" s="108">
        <f t="shared" si="125"/>
        <v>0</v>
      </c>
      <c r="Y26" s="121"/>
      <c r="Z26" s="115"/>
      <c r="AA26" s="108">
        <f t="shared" si="127"/>
        <v>0</v>
      </c>
      <c r="AB26" s="121"/>
      <c r="AC26" s="115"/>
      <c r="AD26" s="108">
        <f t="shared" si="129"/>
        <v>0</v>
      </c>
      <c r="AE26" s="121"/>
      <c r="AF26" s="115"/>
      <c r="AG26" s="108">
        <f t="shared" si="131"/>
        <v>0</v>
      </c>
      <c r="AH26" s="121"/>
      <c r="AI26" s="115"/>
      <c r="AJ26" s="108">
        <f t="shared" si="133"/>
        <v>0</v>
      </c>
      <c r="AK26" s="121">
        <v>35875.720355922829</v>
      </c>
      <c r="AL26" s="115">
        <v>36576.40668357048</v>
      </c>
      <c r="AM26" s="108">
        <f t="shared" si="135"/>
        <v>72452.127039493309</v>
      </c>
      <c r="AN26" s="121"/>
      <c r="AO26" s="115"/>
      <c r="AP26" s="108">
        <f t="shared" si="137"/>
        <v>0</v>
      </c>
    </row>
    <row r="27" spans="1:42" s="55" customFormat="1" ht="15" x14ac:dyDescent="0.2">
      <c r="A27" s="84"/>
      <c r="B27" s="65" t="s">
        <v>116</v>
      </c>
      <c r="C27" s="66" t="s">
        <v>90</v>
      </c>
      <c r="D27" s="71"/>
      <c r="E27" s="72"/>
      <c r="F27" s="108">
        <f t="shared" si="113"/>
        <v>0</v>
      </c>
      <c r="G27" s="71">
        <v>32316.095173699203</v>
      </c>
      <c r="H27" s="72">
        <v>22918.680060591589</v>
      </c>
      <c r="I27" s="108">
        <f t="shared" si="115"/>
        <v>55234.775234290792</v>
      </c>
      <c r="J27" s="183"/>
      <c r="K27" s="184"/>
      <c r="L27" s="179">
        <f t="shared" si="117"/>
        <v>0</v>
      </c>
      <c r="M27" s="71">
        <v>22159.163254236511</v>
      </c>
      <c r="N27" s="72">
        <v>22666.234139142893</v>
      </c>
      <c r="O27" s="108">
        <f t="shared" si="119"/>
        <v>44825.397393379404</v>
      </c>
      <c r="P27" s="71"/>
      <c r="Q27" s="72"/>
      <c r="R27" s="108">
        <f t="shared" si="121"/>
        <v>0</v>
      </c>
      <c r="S27" s="71"/>
      <c r="T27" s="72"/>
      <c r="U27" s="108">
        <f t="shared" si="123"/>
        <v>0</v>
      </c>
      <c r="V27" s="71"/>
      <c r="W27" s="72"/>
      <c r="X27" s="108">
        <f t="shared" si="125"/>
        <v>0</v>
      </c>
      <c r="Y27" s="71"/>
      <c r="Z27" s="72"/>
      <c r="AA27" s="108">
        <f t="shared" si="127"/>
        <v>0</v>
      </c>
      <c r="AB27" s="71"/>
      <c r="AC27" s="72"/>
      <c r="AD27" s="108">
        <f t="shared" si="129"/>
        <v>0</v>
      </c>
      <c r="AE27" s="71"/>
      <c r="AF27" s="72"/>
      <c r="AG27" s="108">
        <f t="shared" si="131"/>
        <v>0</v>
      </c>
      <c r="AH27" s="71"/>
      <c r="AI27" s="72"/>
      <c r="AJ27" s="108">
        <f t="shared" si="133"/>
        <v>0</v>
      </c>
      <c r="AK27" s="71">
        <v>181.64579544234098</v>
      </c>
      <c r="AL27" s="72">
        <v>22.195165064358065</v>
      </c>
      <c r="AM27" s="108">
        <f t="shared" si="135"/>
        <v>203.84096050669905</v>
      </c>
      <c r="AN27" s="71"/>
      <c r="AO27" s="72"/>
      <c r="AP27" s="108">
        <f t="shared" si="137"/>
        <v>0</v>
      </c>
    </row>
    <row r="28" spans="1:42" s="55" customFormat="1" ht="15" x14ac:dyDescent="0.2">
      <c r="A28" s="85" t="s">
        <v>117</v>
      </c>
      <c r="B28" s="73" t="s">
        <v>118</v>
      </c>
      <c r="C28" s="66" t="s">
        <v>90</v>
      </c>
      <c r="D28" s="71">
        <f>D29+D30</f>
        <v>12368.311352297418</v>
      </c>
      <c r="E28" s="72">
        <f>E29+E30</f>
        <v>11734.722647702582</v>
      </c>
      <c r="F28" s="67">
        <f t="shared" ref="F28:F30" si="138">D28+E28</f>
        <v>24103.034</v>
      </c>
      <c r="G28" s="71">
        <f>G29+G30</f>
        <v>0</v>
      </c>
      <c r="H28" s="72">
        <f>H29+H30</f>
        <v>0</v>
      </c>
      <c r="I28" s="67">
        <f t="shared" si="115"/>
        <v>0</v>
      </c>
      <c r="J28" s="183">
        <f>J29+J30</f>
        <v>5375.2200728798671</v>
      </c>
      <c r="K28" s="184">
        <f>K29+K30</f>
        <v>5119.2879271201336</v>
      </c>
      <c r="L28" s="193">
        <f t="shared" si="117"/>
        <v>10494.508000000002</v>
      </c>
      <c r="M28" s="71">
        <f>M29+M30</f>
        <v>0</v>
      </c>
      <c r="N28" s="72">
        <f>N29+N30</f>
        <v>0</v>
      </c>
      <c r="O28" s="67">
        <f t="shared" si="119"/>
        <v>0</v>
      </c>
      <c r="P28" s="71">
        <f>P29+P30</f>
        <v>8046.2256875991079</v>
      </c>
      <c r="Q28" s="72">
        <f>Q29+Q30</f>
        <v>8615.0833124008932</v>
      </c>
      <c r="R28" s="67">
        <f t="shared" si="121"/>
        <v>16661.309000000001</v>
      </c>
      <c r="S28" s="71">
        <f>S29+S30</f>
        <v>4887.0006709344052</v>
      </c>
      <c r="T28" s="72">
        <f>T29+T30</f>
        <v>5608.7093290655939</v>
      </c>
      <c r="U28" s="108">
        <f t="shared" si="123"/>
        <v>10495.71</v>
      </c>
      <c r="V28" s="71">
        <f>V29+V30</f>
        <v>4936.3999999999996</v>
      </c>
      <c r="W28" s="72">
        <f>W29+W30</f>
        <v>4891.5299999999988</v>
      </c>
      <c r="X28" s="67">
        <f t="shared" si="125"/>
        <v>9827.9299999999985</v>
      </c>
      <c r="Y28" s="71">
        <f>Y29+Y30</f>
        <v>1430.6410000000001</v>
      </c>
      <c r="Z28" s="72">
        <f>Z29+Z30</f>
        <v>1481.5239999999999</v>
      </c>
      <c r="AA28" s="67">
        <f t="shared" si="127"/>
        <v>2912.165</v>
      </c>
      <c r="AB28" s="71">
        <f>AB29+AB30</f>
        <v>15931.508000000002</v>
      </c>
      <c r="AC28" s="72">
        <f>AC29+AC30</f>
        <v>15749.380000000001</v>
      </c>
      <c r="AD28" s="67">
        <f t="shared" si="129"/>
        <v>31680.888000000003</v>
      </c>
      <c r="AE28" s="71">
        <f>AE29+AE30</f>
        <v>10597.043504056861</v>
      </c>
      <c r="AF28" s="72">
        <f>AF29+AF30</f>
        <v>9767.8264959431381</v>
      </c>
      <c r="AG28" s="67">
        <f t="shared" si="131"/>
        <v>20364.87</v>
      </c>
      <c r="AH28" s="71">
        <f>AH29+AH30</f>
        <v>14802.573461565431</v>
      </c>
      <c r="AI28" s="72">
        <f>AI29+AI30</f>
        <v>14356.78653843457</v>
      </c>
      <c r="AJ28" s="67">
        <f t="shared" si="133"/>
        <v>29159.360000000001</v>
      </c>
      <c r="AK28" s="71">
        <f>AK29+AK30</f>
        <v>0</v>
      </c>
      <c r="AL28" s="72">
        <f>AL29+AL30</f>
        <v>0</v>
      </c>
      <c r="AM28" s="67">
        <f t="shared" si="135"/>
        <v>0</v>
      </c>
      <c r="AN28" s="71">
        <f>AN29+AN30</f>
        <v>1106.578729433156</v>
      </c>
      <c r="AO28" s="72">
        <f>AO29+AO30</f>
        <v>5122.3972705668439</v>
      </c>
      <c r="AP28" s="108">
        <f t="shared" si="137"/>
        <v>6228.9759999999997</v>
      </c>
    </row>
    <row r="29" spans="1:42" s="55" customFormat="1" ht="15" x14ac:dyDescent="0.2">
      <c r="A29" s="84"/>
      <c r="B29" s="65" t="s">
        <v>115</v>
      </c>
      <c r="C29" s="66" t="s">
        <v>90</v>
      </c>
      <c r="D29" s="71">
        <v>10038.627223814648</v>
      </c>
      <c r="E29" s="72">
        <v>9064.296319049452</v>
      </c>
      <c r="F29" s="67">
        <f t="shared" si="138"/>
        <v>19102.9235428641</v>
      </c>
      <c r="G29" s="71"/>
      <c r="H29" s="72"/>
      <c r="I29" s="67">
        <f t="shared" si="115"/>
        <v>0</v>
      </c>
      <c r="J29" s="183">
        <v>371.1182808772067</v>
      </c>
      <c r="K29" s="184">
        <v>400.17708744593136</v>
      </c>
      <c r="L29" s="193">
        <f t="shared" si="117"/>
        <v>771.29536832313806</v>
      </c>
      <c r="M29" s="71"/>
      <c r="N29" s="72"/>
      <c r="O29" s="67">
        <f t="shared" si="119"/>
        <v>0</v>
      </c>
      <c r="P29" s="71">
        <v>4729.1751563643838</v>
      </c>
      <c r="Q29" s="72">
        <v>5324.8709377461882</v>
      </c>
      <c r="R29" s="67">
        <f t="shared" si="121"/>
        <v>10054.046094110572</v>
      </c>
      <c r="S29" s="71">
        <v>3398.6479925411695</v>
      </c>
      <c r="T29" s="72">
        <v>3661.5942443378917</v>
      </c>
      <c r="U29" s="108">
        <f t="shared" si="123"/>
        <v>7060.2422368790612</v>
      </c>
      <c r="V29" s="71">
        <v>3174</v>
      </c>
      <c r="W29" s="72">
        <v>3442</v>
      </c>
      <c r="X29" s="67">
        <f t="shared" si="125"/>
        <v>6616</v>
      </c>
      <c r="Y29" s="71">
        <v>736.62099999999998</v>
      </c>
      <c r="Z29" s="72">
        <v>832.04400000000021</v>
      </c>
      <c r="AA29" s="67">
        <f t="shared" si="127"/>
        <v>1568.6650000000002</v>
      </c>
      <c r="AB29" s="71">
        <v>7884.5370000000003</v>
      </c>
      <c r="AC29" s="72">
        <v>8605.0619999999981</v>
      </c>
      <c r="AD29" s="67">
        <f t="shared" si="129"/>
        <v>16489.598999999998</v>
      </c>
      <c r="AE29" s="71">
        <v>5672.04529007172</v>
      </c>
      <c r="AF29" s="72">
        <v>5212.6022891139628</v>
      </c>
      <c r="AG29" s="67">
        <f t="shared" si="131"/>
        <v>10884.647579185683</v>
      </c>
      <c r="AH29" s="71">
        <v>784.11580187030961</v>
      </c>
      <c r="AI29" s="72">
        <v>678.8883709617445</v>
      </c>
      <c r="AJ29" s="67">
        <f t="shared" si="133"/>
        <v>1463.0041728320541</v>
      </c>
      <c r="AK29" s="71"/>
      <c r="AL29" s="72"/>
      <c r="AM29" s="67">
        <f t="shared" si="135"/>
        <v>0</v>
      </c>
      <c r="AN29" s="183">
        <v>922.49785011532708</v>
      </c>
      <c r="AO29" s="184">
        <v>507.12611390085976</v>
      </c>
      <c r="AP29" s="108">
        <f t="shared" si="137"/>
        <v>1429.6239640161868</v>
      </c>
    </row>
    <row r="30" spans="1:42" s="55" customFormat="1" ht="15" x14ac:dyDescent="0.2">
      <c r="A30" s="84"/>
      <c r="B30" s="65" t="s">
        <v>116</v>
      </c>
      <c r="C30" s="66" t="s">
        <v>90</v>
      </c>
      <c r="D30" s="71">
        <v>2329.6841284827701</v>
      </c>
      <c r="E30" s="72">
        <v>2670.4263286531291</v>
      </c>
      <c r="F30" s="67">
        <f t="shared" si="138"/>
        <v>5000.1104571358992</v>
      </c>
      <c r="G30" s="71"/>
      <c r="H30" s="72"/>
      <c r="I30" s="67">
        <f t="shared" si="115"/>
        <v>0</v>
      </c>
      <c r="J30" s="183">
        <v>5004.1017920026607</v>
      </c>
      <c r="K30" s="184">
        <v>4719.110839674202</v>
      </c>
      <c r="L30" s="193">
        <f t="shared" si="117"/>
        <v>9723.2126316768627</v>
      </c>
      <c r="M30" s="71"/>
      <c r="N30" s="72"/>
      <c r="O30" s="67">
        <f t="shared" si="119"/>
        <v>0</v>
      </c>
      <c r="P30" s="71">
        <v>3317.0505312347241</v>
      </c>
      <c r="Q30" s="72">
        <v>3290.2123746547049</v>
      </c>
      <c r="R30" s="67">
        <f t="shared" si="121"/>
        <v>6607.262905889429</v>
      </c>
      <c r="S30" s="71">
        <v>1488.3526783932357</v>
      </c>
      <c r="T30" s="72">
        <v>1947.1150847277022</v>
      </c>
      <c r="U30" s="108">
        <f t="shared" si="123"/>
        <v>3435.4677631209379</v>
      </c>
      <c r="V30" s="71">
        <v>1762.4</v>
      </c>
      <c r="W30" s="72">
        <v>1449.5299999999984</v>
      </c>
      <c r="X30" s="67">
        <f t="shared" si="125"/>
        <v>3211.9299999999985</v>
      </c>
      <c r="Y30" s="71">
        <v>694.0200000000001</v>
      </c>
      <c r="Z30" s="72">
        <v>649.47999999999968</v>
      </c>
      <c r="AA30" s="67">
        <f t="shared" si="127"/>
        <v>1343.4999999999998</v>
      </c>
      <c r="AB30" s="71">
        <v>8046.9710000000005</v>
      </c>
      <c r="AC30" s="72">
        <v>7144.3180000000038</v>
      </c>
      <c r="AD30" s="67">
        <f t="shared" si="129"/>
        <v>15191.289000000004</v>
      </c>
      <c r="AE30" s="71">
        <v>4924.9982139851409</v>
      </c>
      <c r="AF30" s="72">
        <v>4555.2242068291753</v>
      </c>
      <c r="AG30" s="67">
        <f t="shared" si="131"/>
        <v>9480.2224208143161</v>
      </c>
      <c r="AH30" s="71">
        <v>14018.457659695121</v>
      </c>
      <c r="AI30" s="72">
        <v>13677.898167472826</v>
      </c>
      <c r="AJ30" s="67">
        <f t="shared" si="133"/>
        <v>27696.355827167947</v>
      </c>
      <c r="AK30" s="71"/>
      <c r="AL30" s="72"/>
      <c r="AM30" s="67">
        <f t="shared" si="135"/>
        <v>0</v>
      </c>
      <c r="AN30" s="183">
        <v>184.08087931782885</v>
      </c>
      <c r="AO30" s="184">
        <v>4615.2711566659846</v>
      </c>
      <c r="AP30" s="108">
        <f t="shared" si="137"/>
        <v>4799.352035983813</v>
      </c>
    </row>
    <row r="31" spans="1:42" s="80" customFormat="1" ht="14.25" x14ac:dyDescent="0.2">
      <c r="A31" s="178" t="s">
        <v>119</v>
      </c>
      <c r="B31" s="93" t="s">
        <v>120</v>
      </c>
      <c r="C31" s="88" t="s">
        <v>90</v>
      </c>
      <c r="D31" s="89">
        <f t="shared" ref="D31:AA31" si="139">D32+D33</f>
        <v>980.12780990583803</v>
      </c>
      <c r="E31" s="90">
        <f t="shared" si="139"/>
        <v>887.65419009416189</v>
      </c>
      <c r="F31" s="69">
        <f t="shared" si="139"/>
        <v>1867.7819999999999</v>
      </c>
      <c r="G31" s="89">
        <f t="shared" si="139"/>
        <v>6644.6061266002871</v>
      </c>
      <c r="H31" s="90">
        <f t="shared" si="139"/>
        <v>6557.9008037330477</v>
      </c>
      <c r="I31" s="69">
        <f t="shared" si="139"/>
        <v>13202.506930333335</v>
      </c>
      <c r="J31" s="209">
        <f t="shared" si="139"/>
        <v>259.55758711095075</v>
      </c>
      <c r="K31" s="210">
        <f t="shared" si="139"/>
        <v>498.58641288904926</v>
      </c>
      <c r="L31" s="192">
        <f t="shared" si="139"/>
        <v>758.14400000000001</v>
      </c>
      <c r="M31" s="89">
        <f t="shared" si="139"/>
        <v>4911.1864782125949</v>
      </c>
      <c r="N31" s="90">
        <f t="shared" si="139"/>
        <v>3801.9635217874052</v>
      </c>
      <c r="O31" s="69">
        <f t="shared" si="139"/>
        <v>8713.15</v>
      </c>
      <c r="P31" s="89">
        <f t="shared" si="139"/>
        <v>512.53020227369666</v>
      </c>
      <c r="Q31" s="90">
        <f t="shared" si="139"/>
        <v>589.38379772630333</v>
      </c>
      <c r="R31" s="69">
        <f t="shared" si="139"/>
        <v>1101.914</v>
      </c>
      <c r="S31" s="89">
        <f t="shared" si="139"/>
        <v>210.46297989549282</v>
      </c>
      <c r="T31" s="90">
        <f t="shared" si="139"/>
        <v>321.13802010450718</v>
      </c>
      <c r="U31" s="109">
        <f t="shared" si="139"/>
        <v>531.601</v>
      </c>
      <c r="V31" s="89">
        <f t="shared" si="139"/>
        <v>520.66999999999996</v>
      </c>
      <c r="W31" s="90">
        <f t="shared" si="139"/>
        <v>417.87800000000004</v>
      </c>
      <c r="X31" s="69">
        <f t="shared" si="139"/>
        <v>938.548</v>
      </c>
      <c r="Y31" s="89">
        <f t="shared" si="139"/>
        <v>148.83700000000002</v>
      </c>
      <c r="Z31" s="90">
        <f t="shared" si="139"/>
        <v>107.49619999999996</v>
      </c>
      <c r="AA31" s="69">
        <f t="shared" si="139"/>
        <v>256.33319999999998</v>
      </c>
      <c r="AB31" s="89">
        <f t="shared" ref="AB31:AP31" si="140">AB32+AB33</f>
        <v>1718.4449999999999</v>
      </c>
      <c r="AC31" s="90">
        <f t="shared" si="140"/>
        <v>1303.8395520000001</v>
      </c>
      <c r="AD31" s="69">
        <f t="shared" si="140"/>
        <v>3022.2845520000001</v>
      </c>
      <c r="AE31" s="89">
        <f t="shared" si="140"/>
        <v>639.72230716432182</v>
      </c>
      <c r="AF31" s="90">
        <f t="shared" si="140"/>
        <v>2271.514692835678</v>
      </c>
      <c r="AG31" s="69">
        <f t="shared" si="140"/>
        <v>2911.2370000000001</v>
      </c>
      <c r="AH31" s="89">
        <f t="shared" si="140"/>
        <v>465.73457952425366</v>
      </c>
      <c r="AI31" s="90">
        <f t="shared" si="140"/>
        <v>454.99842047574629</v>
      </c>
      <c r="AJ31" s="69">
        <f t="shared" si="140"/>
        <v>920.73299999999995</v>
      </c>
      <c r="AK31" s="89">
        <f t="shared" si="140"/>
        <v>4902.6561061609445</v>
      </c>
      <c r="AL31" s="90">
        <f t="shared" si="140"/>
        <v>4371.5238938390557</v>
      </c>
      <c r="AM31" s="69">
        <f t="shared" si="140"/>
        <v>9274.18</v>
      </c>
      <c r="AN31" s="89">
        <f t="shared" si="140"/>
        <v>3.6305707656612527</v>
      </c>
      <c r="AO31" s="90">
        <f t="shared" si="140"/>
        <v>5.6394292343387455</v>
      </c>
      <c r="AP31" s="182">
        <f t="shared" si="140"/>
        <v>9.2699999999999978</v>
      </c>
    </row>
    <row r="32" spans="1:42" s="55" customFormat="1" ht="15" x14ac:dyDescent="0.2">
      <c r="A32" s="94"/>
      <c r="B32" s="95" t="s">
        <v>115</v>
      </c>
      <c r="C32" s="74" t="s">
        <v>90</v>
      </c>
      <c r="D32" s="122">
        <v>980.12780990583803</v>
      </c>
      <c r="E32" s="123">
        <v>887.65419009416189</v>
      </c>
      <c r="F32" s="96">
        <f>D32+E32</f>
        <v>1867.7819999999999</v>
      </c>
      <c r="G32" s="122">
        <v>3337.0389518719553</v>
      </c>
      <c r="H32" s="123">
        <v>3705.9987353436659</v>
      </c>
      <c r="I32" s="96">
        <f>G32+H32</f>
        <v>7043.0376872156212</v>
      </c>
      <c r="J32" s="185">
        <v>204.57983058495296</v>
      </c>
      <c r="K32" s="186">
        <v>169.97145576958542</v>
      </c>
      <c r="L32" s="196">
        <f>J32+K32</f>
        <v>374.55128635453838</v>
      </c>
      <c r="M32" s="122">
        <v>4850.8236945346744</v>
      </c>
      <c r="N32" s="123">
        <v>3740.7785073863924</v>
      </c>
      <c r="O32" s="96">
        <f>M32+N32</f>
        <v>8591.6022019210668</v>
      </c>
      <c r="P32" s="122">
        <v>380.25212716321073</v>
      </c>
      <c r="Q32" s="220">
        <v>457.69837032094529</v>
      </c>
      <c r="R32" s="96">
        <f>P32+Q32</f>
        <v>837.95049748415602</v>
      </c>
      <c r="S32" s="122">
        <v>210.46297989549282</v>
      </c>
      <c r="T32" s="123">
        <v>321.13802010450718</v>
      </c>
      <c r="U32" s="111">
        <f>S32+T32</f>
        <v>531.601</v>
      </c>
      <c r="V32" s="122">
        <v>520.66999999999996</v>
      </c>
      <c r="W32" s="123">
        <v>417.87800000000004</v>
      </c>
      <c r="X32" s="96">
        <f>V32+W32</f>
        <v>938.548</v>
      </c>
      <c r="Y32" s="122">
        <v>144.26500000000001</v>
      </c>
      <c r="Z32" s="123">
        <v>103.08020000000002</v>
      </c>
      <c r="AA32" s="96">
        <f>Y32+Z32</f>
        <v>247.34520000000003</v>
      </c>
      <c r="AB32" s="122">
        <v>1682.837</v>
      </c>
      <c r="AC32" s="123">
        <v>1289.788</v>
      </c>
      <c r="AD32" s="96">
        <f>AB32+AC32</f>
        <v>2972.625</v>
      </c>
      <c r="AE32" s="122">
        <v>639.06982981168528</v>
      </c>
      <c r="AF32" s="123">
        <v>815.89595947467967</v>
      </c>
      <c r="AG32" s="96">
        <f>AE32+AF32</f>
        <v>1454.965789286365</v>
      </c>
      <c r="AH32" s="122">
        <v>456.77476679104467</v>
      </c>
      <c r="AI32" s="123">
        <v>446.03860774253718</v>
      </c>
      <c r="AJ32" s="96">
        <f>AH32+AI32</f>
        <v>902.81337453358185</v>
      </c>
      <c r="AK32" s="122">
        <v>4795.2006840273343</v>
      </c>
      <c r="AL32" s="123">
        <v>4262.2874426093085</v>
      </c>
      <c r="AM32" s="96">
        <f>AK32+AL32</f>
        <v>9057.4881266366428</v>
      </c>
      <c r="AN32" s="185">
        <v>2.8519767981438515</v>
      </c>
      <c r="AO32" s="186">
        <v>3.1014709976798138</v>
      </c>
      <c r="AP32" s="111">
        <f>AN32+AO32</f>
        <v>5.9534477958236653</v>
      </c>
    </row>
    <row r="33" spans="1:42" s="55" customFormat="1" ht="15" x14ac:dyDescent="0.2">
      <c r="A33" s="84"/>
      <c r="B33" s="97" t="s">
        <v>121</v>
      </c>
      <c r="C33" s="66" t="s">
        <v>90</v>
      </c>
      <c r="D33" s="71"/>
      <c r="E33" s="72"/>
      <c r="F33" s="67">
        <f>D33+E33</f>
        <v>0</v>
      </c>
      <c r="G33" s="71">
        <v>3307.5671747283313</v>
      </c>
      <c r="H33" s="72">
        <v>2851.9020683893823</v>
      </c>
      <c r="I33" s="67">
        <f>G33+H33</f>
        <v>6159.4692431177136</v>
      </c>
      <c r="J33" s="183">
        <v>54.977756525997819</v>
      </c>
      <c r="K33" s="184">
        <v>328.61495711946384</v>
      </c>
      <c r="L33" s="193">
        <f>J33+K33</f>
        <v>383.59271364546169</v>
      </c>
      <c r="M33" s="71">
        <v>60.362783677920198</v>
      </c>
      <c r="N33" s="72">
        <v>61.18501440101263</v>
      </c>
      <c r="O33" s="67">
        <f>M33+N33</f>
        <v>121.54779807893283</v>
      </c>
      <c r="P33" s="71">
        <v>132.27807511048587</v>
      </c>
      <c r="Q33" s="221">
        <v>131.6854274053581</v>
      </c>
      <c r="R33" s="67">
        <f>P33+Q33</f>
        <v>263.96350251584397</v>
      </c>
      <c r="S33" s="71"/>
      <c r="T33" s="72"/>
      <c r="U33" s="108">
        <f>S33+T33</f>
        <v>0</v>
      </c>
      <c r="V33" s="71"/>
      <c r="W33" s="72"/>
      <c r="X33" s="67">
        <f>V33+W33</f>
        <v>0</v>
      </c>
      <c r="Y33" s="122">
        <v>4.5719999999999983</v>
      </c>
      <c r="Z33" s="123">
        <v>4.4159999999999444</v>
      </c>
      <c r="AA33" s="67">
        <f>Y33+Z33</f>
        <v>8.9879999999999427</v>
      </c>
      <c r="AB33" s="71">
        <v>35.608000000000004</v>
      </c>
      <c r="AC33" s="72">
        <v>14.051552000000072</v>
      </c>
      <c r="AD33" s="67">
        <f>AB33+AC33</f>
        <v>49.659552000000076</v>
      </c>
      <c r="AE33" s="71">
        <v>0.65247735263657125</v>
      </c>
      <c r="AF33" s="72">
        <v>1455.6187333609985</v>
      </c>
      <c r="AG33" s="67">
        <f>AE33+AF33</f>
        <v>1456.2712107136351</v>
      </c>
      <c r="AH33" s="71">
        <v>8.9598127332089845</v>
      </c>
      <c r="AI33" s="72">
        <v>8.9598127332091124</v>
      </c>
      <c r="AJ33" s="67">
        <f>AH33+AI33</f>
        <v>17.919625466418097</v>
      </c>
      <c r="AK33" s="71">
        <v>107.45542213361013</v>
      </c>
      <c r="AL33" s="72">
        <v>109.23645122974732</v>
      </c>
      <c r="AM33" s="67">
        <f>AK33+AL33</f>
        <v>216.69187336335744</v>
      </c>
      <c r="AN33" s="183">
        <v>0.77859396751740106</v>
      </c>
      <c r="AO33" s="184">
        <v>2.5379582366589313</v>
      </c>
      <c r="AP33" s="108">
        <f>AN33+AO33</f>
        <v>3.3165522041763325</v>
      </c>
    </row>
    <row r="34" spans="1:42" s="80" customFormat="1" ht="14.25" x14ac:dyDescent="0.2">
      <c r="A34" s="98" t="s">
        <v>122</v>
      </c>
      <c r="B34" s="99" t="s">
        <v>0</v>
      </c>
      <c r="C34" s="77" t="s">
        <v>90</v>
      </c>
      <c r="D34" s="78">
        <f t="shared" ref="D34:AA34" si="141">D35+D36</f>
        <v>162.44544647093934</v>
      </c>
      <c r="E34" s="79">
        <f t="shared" si="141"/>
        <v>179.97355352906064</v>
      </c>
      <c r="F34" s="100">
        <f t="shared" si="141"/>
        <v>342.41899999999998</v>
      </c>
      <c r="G34" s="78">
        <f t="shared" si="141"/>
        <v>16824.472162286271</v>
      </c>
      <c r="H34" s="79">
        <f t="shared" si="141"/>
        <v>16578.613469380398</v>
      </c>
      <c r="I34" s="100">
        <f t="shared" si="141"/>
        <v>33403.085631666669</v>
      </c>
      <c r="J34" s="207">
        <f t="shared" si="141"/>
        <v>204.85290212490423</v>
      </c>
      <c r="K34" s="208">
        <f t="shared" si="141"/>
        <v>199.08809787509574</v>
      </c>
      <c r="L34" s="197">
        <f t="shared" si="141"/>
        <v>403.94099999999997</v>
      </c>
      <c r="M34" s="78">
        <f t="shared" si="141"/>
        <v>1640.7877235258488</v>
      </c>
      <c r="N34" s="79">
        <f t="shared" si="141"/>
        <v>1272.4712764741512</v>
      </c>
      <c r="O34" s="100">
        <f t="shared" si="141"/>
        <v>2913.259</v>
      </c>
      <c r="P34" s="78">
        <f t="shared" si="141"/>
        <v>72.345374598759378</v>
      </c>
      <c r="Q34" s="79">
        <f t="shared" si="141"/>
        <v>393.11062540124061</v>
      </c>
      <c r="R34" s="100">
        <f t="shared" si="141"/>
        <v>465.45599999999996</v>
      </c>
      <c r="S34" s="78">
        <f t="shared" si="141"/>
        <v>184.94656924232493</v>
      </c>
      <c r="T34" s="79">
        <f t="shared" si="141"/>
        <v>181.13243075767511</v>
      </c>
      <c r="U34" s="112">
        <f t="shared" si="141"/>
        <v>366.07900000000006</v>
      </c>
      <c r="V34" s="78">
        <f t="shared" si="141"/>
        <v>321.03800000000001</v>
      </c>
      <c r="W34" s="79">
        <f t="shared" si="141"/>
        <v>357.20800000000008</v>
      </c>
      <c r="X34" s="100">
        <f t="shared" si="141"/>
        <v>678.24600000000009</v>
      </c>
      <c r="Y34" s="78">
        <f t="shared" si="141"/>
        <v>49.068000000000005</v>
      </c>
      <c r="Z34" s="79">
        <f t="shared" si="141"/>
        <v>48.375999999999998</v>
      </c>
      <c r="AA34" s="100">
        <f t="shared" si="141"/>
        <v>97.444000000000003</v>
      </c>
      <c r="AB34" s="78">
        <f t="shared" ref="AB34:AP34" si="142">AB35+AB36</f>
        <v>1085.5650000000001</v>
      </c>
      <c r="AC34" s="79">
        <f t="shared" si="142"/>
        <v>940.90560000000005</v>
      </c>
      <c r="AD34" s="100">
        <f t="shared" si="142"/>
        <v>2026.4706000000001</v>
      </c>
      <c r="AE34" s="78">
        <f t="shared" si="142"/>
        <v>112.21606020346043</v>
      </c>
      <c r="AF34" s="79">
        <f t="shared" si="142"/>
        <v>270.83693979653958</v>
      </c>
      <c r="AG34" s="100">
        <f t="shared" si="142"/>
        <v>383.053</v>
      </c>
      <c r="AH34" s="78">
        <f t="shared" si="142"/>
        <v>49.610900000000001</v>
      </c>
      <c r="AI34" s="79">
        <f t="shared" si="142"/>
        <v>28.722099999999998</v>
      </c>
      <c r="AJ34" s="100">
        <f t="shared" si="142"/>
        <v>78.332999999999998</v>
      </c>
      <c r="AK34" s="78">
        <f t="shared" si="142"/>
        <v>1280.6641285848432</v>
      </c>
      <c r="AL34" s="79">
        <f t="shared" si="142"/>
        <v>1944.6658714151567</v>
      </c>
      <c r="AM34" s="100">
        <f t="shared" si="142"/>
        <v>3225.33</v>
      </c>
      <c r="AN34" s="78">
        <f t="shared" si="142"/>
        <v>35.877103683829205</v>
      </c>
      <c r="AO34" s="79">
        <f t="shared" si="142"/>
        <v>38.23189631617079</v>
      </c>
      <c r="AP34" s="187">
        <f t="shared" si="142"/>
        <v>74.108999999999995</v>
      </c>
    </row>
    <row r="35" spans="1:42" s="55" customFormat="1" ht="15" x14ac:dyDescent="0.2">
      <c r="A35" s="84"/>
      <c r="B35" s="65" t="s">
        <v>115</v>
      </c>
      <c r="C35" s="66" t="s">
        <v>90</v>
      </c>
      <c r="D35" s="71">
        <v>162.44544647093934</v>
      </c>
      <c r="E35" s="72">
        <v>179.97355352906064</v>
      </c>
      <c r="F35" s="91">
        <f>D35+E35</f>
        <v>342.41899999999998</v>
      </c>
      <c r="G35" s="71">
        <v>16455.515439095725</v>
      </c>
      <c r="H35" s="72">
        <v>16143.867039598914</v>
      </c>
      <c r="I35" s="91">
        <f>G35+H35</f>
        <v>32599.382478694639</v>
      </c>
      <c r="J35" s="183">
        <v>3.9378719203084298</v>
      </c>
      <c r="K35" s="184">
        <v>7.1863551224726763</v>
      </c>
      <c r="L35" s="198">
        <f>J35+K35</f>
        <v>11.124227042781106</v>
      </c>
      <c r="M35" s="71">
        <v>1086.0550337904956</v>
      </c>
      <c r="N35" s="72">
        <v>697.41641431852781</v>
      </c>
      <c r="O35" s="91">
        <f>M35+N35</f>
        <v>1783.4714481090234</v>
      </c>
      <c r="P35" s="211">
        <v>36.137547715836469</v>
      </c>
      <c r="Q35" s="212">
        <v>36.137547715836469</v>
      </c>
      <c r="R35" s="91">
        <f>P35+Q35</f>
        <v>72.275095431672938</v>
      </c>
      <c r="S35" s="71">
        <v>14.08122501828756</v>
      </c>
      <c r="T35" s="72">
        <v>12.00301712435701</v>
      </c>
      <c r="U35" s="110">
        <f>S35+T35</f>
        <v>26.08424214264457</v>
      </c>
      <c r="V35" s="71">
        <v>306.03800000000001</v>
      </c>
      <c r="W35" s="72">
        <v>342.20800000000008</v>
      </c>
      <c r="X35" s="91">
        <f>V35+W35</f>
        <v>648.24600000000009</v>
      </c>
      <c r="Y35" s="71">
        <v>47.532000000000004</v>
      </c>
      <c r="Z35" s="72">
        <v>46.923999999999985</v>
      </c>
      <c r="AA35" s="91">
        <f>Y35+Z35</f>
        <v>94.455999999999989</v>
      </c>
      <c r="AB35" s="71">
        <v>1010.638</v>
      </c>
      <c r="AC35" s="72">
        <v>908.92</v>
      </c>
      <c r="AD35" s="91">
        <f>AB35+AC35</f>
        <v>1919.558</v>
      </c>
      <c r="AE35" s="71">
        <v>73.832853787303023</v>
      </c>
      <c r="AF35" s="72">
        <v>79.360198899328381</v>
      </c>
      <c r="AG35" s="91">
        <f>AE35+AF35</f>
        <v>153.1930526866314</v>
      </c>
      <c r="AH35" s="71">
        <v>49.610900000000001</v>
      </c>
      <c r="AI35" s="72">
        <v>28.722099999999998</v>
      </c>
      <c r="AJ35" s="91">
        <f>AH35+AI35</f>
        <v>78.332999999999998</v>
      </c>
      <c r="AK35" s="71">
        <v>1149.1353896949656</v>
      </c>
      <c r="AL35" s="72">
        <v>1810.9570981790382</v>
      </c>
      <c r="AM35" s="91">
        <f>AK35+AL35</f>
        <v>2960.0924878740038</v>
      </c>
      <c r="AN35" s="183">
        <v>30.026408684505938</v>
      </c>
      <c r="AO35" s="184">
        <v>30.918527567016703</v>
      </c>
      <c r="AP35" s="110">
        <f>AN35+AO35</f>
        <v>60.944936251522641</v>
      </c>
    </row>
    <row r="36" spans="1:42" s="55" customFormat="1" ht="15" x14ac:dyDescent="0.2">
      <c r="A36" s="101"/>
      <c r="B36" s="102" t="s">
        <v>123</v>
      </c>
      <c r="C36" s="103" t="s">
        <v>90</v>
      </c>
      <c r="D36" s="124"/>
      <c r="E36" s="125"/>
      <c r="F36" s="104">
        <f>D36+E36</f>
        <v>0</v>
      </c>
      <c r="G36" s="124">
        <v>368.95672319054421</v>
      </c>
      <c r="H36" s="125">
        <v>434.74642978148557</v>
      </c>
      <c r="I36" s="104">
        <f>G36+H36</f>
        <v>803.70315297202978</v>
      </c>
      <c r="J36" s="188">
        <v>200.91503020459581</v>
      </c>
      <c r="K36" s="189">
        <v>191.90174275262305</v>
      </c>
      <c r="L36" s="199">
        <f>J36+K36</f>
        <v>392.81677295721886</v>
      </c>
      <c r="M36" s="124">
        <v>554.73268973535335</v>
      </c>
      <c r="N36" s="125">
        <v>575.05486215562325</v>
      </c>
      <c r="O36" s="104">
        <f>M36+N36</f>
        <v>1129.7875518909766</v>
      </c>
      <c r="P36" s="218">
        <v>36.207826882922902</v>
      </c>
      <c r="Q36" s="219">
        <v>356.97307768540412</v>
      </c>
      <c r="R36" s="104">
        <f>P36+Q36</f>
        <v>393.18090456832704</v>
      </c>
      <c r="S36" s="124">
        <v>170.86534422403736</v>
      </c>
      <c r="T36" s="125">
        <v>169.12941363331811</v>
      </c>
      <c r="U36" s="113">
        <f>S36+T36</f>
        <v>339.99475785735547</v>
      </c>
      <c r="V36" s="124">
        <v>15</v>
      </c>
      <c r="W36" s="125">
        <v>15</v>
      </c>
      <c r="X36" s="104">
        <f>V36+W36</f>
        <v>30</v>
      </c>
      <c r="Y36" s="124">
        <v>1.536</v>
      </c>
      <c r="Z36" s="125">
        <v>1.4520000000000137</v>
      </c>
      <c r="AA36" s="104">
        <f>Y36+Z36</f>
        <v>2.9880000000000138</v>
      </c>
      <c r="AB36" s="124">
        <v>74.927000000000007</v>
      </c>
      <c r="AC36" s="125">
        <v>31.985600000000105</v>
      </c>
      <c r="AD36" s="104">
        <f>AB36+AC36</f>
        <v>106.91260000000011</v>
      </c>
      <c r="AE36" s="124">
        <v>38.383206416157407</v>
      </c>
      <c r="AF36" s="125">
        <v>191.47674089721119</v>
      </c>
      <c r="AG36" s="104">
        <f>AE36+AF36</f>
        <v>229.85994731336859</v>
      </c>
      <c r="AH36" s="124"/>
      <c r="AI36" s="125"/>
      <c r="AJ36" s="104">
        <f>AH36+AI36</f>
        <v>0</v>
      </c>
      <c r="AK36" s="124">
        <v>131.52873888987753</v>
      </c>
      <c r="AL36" s="125">
        <v>133.70877323611856</v>
      </c>
      <c r="AM36" s="104">
        <f>AK36+AL36</f>
        <v>265.23751212599609</v>
      </c>
      <c r="AN36" s="188">
        <v>5.8506949993232684</v>
      </c>
      <c r="AO36" s="189">
        <v>7.3133687491540851</v>
      </c>
      <c r="AP36" s="113">
        <f>AN36+AO36</f>
        <v>13.164063748477353</v>
      </c>
    </row>
    <row r="37" spans="1:42" hidden="1" x14ac:dyDescent="0.2"/>
    <row r="38" spans="1:42" hidden="1" x14ac:dyDescent="0.2">
      <c r="F38" s="120">
        <f>F34+F31+F24+F18+F15+F12-F8</f>
        <v>0</v>
      </c>
      <c r="I38" s="120">
        <f>I34+I31+I24+I18+I15+I12-I8</f>
        <v>179034.1004749063</v>
      </c>
      <c r="L38" s="105">
        <f>L34+L31+L24+L18+L15+L12-L8</f>
        <v>0</v>
      </c>
      <c r="O38" s="105">
        <f>O34+O31+O24+O18+O15+O12-O8</f>
        <v>0</v>
      </c>
      <c r="R38" s="105">
        <f>R34+R31+R24+R18+R15+R12-R8</f>
        <v>0</v>
      </c>
      <c r="U38" s="105">
        <f>U34+U31+U24+U18+U15+U12-U8</f>
        <v>0</v>
      </c>
      <c r="X38" s="105">
        <f>X34+X31+X24+X18+X15+X12-X8</f>
        <v>0</v>
      </c>
      <c r="AA38" s="105">
        <f>AA34+AA31+AA24+AA18+AA15+AA12-AA8</f>
        <v>0</v>
      </c>
      <c r="AD38" s="105">
        <f>AD34+AD31+AD24+AD18+AD15+AD12-AD8</f>
        <v>0</v>
      </c>
      <c r="AG38" s="105">
        <f>AG34+AG31+AG24+AG18+AG15+AG12-AG8</f>
        <v>0</v>
      </c>
      <c r="AJ38" s="105">
        <f>AJ34+AJ31+AJ24+AJ18+AJ15+AJ12-AJ8</f>
        <v>0</v>
      </c>
      <c r="AM38" s="105">
        <f>AM34+AM31+AM24+AM18+AM15+AM12-AM8</f>
        <v>0</v>
      </c>
      <c r="AP38" s="105">
        <f>AP34+AP31+AP24+AP18+AP15+AP12-AP8</f>
        <v>-2.9103830456733704E-11</v>
      </c>
    </row>
    <row r="39" spans="1:42" hidden="1" x14ac:dyDescent="0.2"/>
    <row r="40" spans="1:42" x14ac:dyDescent="0.2">
      <c r="J40" s="120"/>
      <c r="K40" s="120"/>
      <c r="M40" s="136"/>
      <c r="N40" s="136"/>
      <c r="O40" s="136"/>
      <c r="P40" s="136"/>
      <c r="Q40" s="136"/>
      <c r="R40" s="136"/>
    </row>
    <row r="41" spans="1:42" hidden="1" x14ac:dyDescent="0.2"/>
    <row r="42" spans="1:42" hidden="1" x14ac:dyDescent="0.2">
      <c r="D42" s="120">
        <f t="shared" ref="D42:U42" si="143">D18+D23</f>
        <v>14628.702397524663</v>
      </c>
      <c r="E42" s="120">
        <f t="shared" si="143"/>
        <v>13938.6955468423</v>
      </c>
      <c r="F42" s="120">
        <f t="shared" si="143"/>
        <v>28567.397944366963</v>
      </c>
      <c r="G42" s="120">
        <f t="shared" si="143"/>
        <v>128388.69864483105</v>
      </c>
      <c r="H42" s="120">
        <f t="shared" si="143"/>
        <v>123120.65583007524</v>
      </c>
      <c r="I42" s="120">
        <f t="shared" si="143"/>
        <v>251509.35447490629</v>
      </c>
      <c r="J42" s="120">
        <f t="shared" si="143"/>
        <v>8926.6499638992827</v>
      </c>
      <c r="K42" s="120">
        <f t="shared" si="143"/>
        <v>8955.1479071007161</v>
      </c>
      <c r="L42" s="120">
        <f t="shared" si="143"/>
        <v>17881.797871000002</v>
      </c>
      <c r="M42" s="120">
        <f t="shared" si="143"/>
        <v>63129.339850461532</v>
      </c>
      <c r="N42" s="120">
        <f t="shared" si="143"/>
        <v>63044.768787775247</v>
      </c>
      <c r="O42" s="120">
        <f t="shared" si="143"/>
        <v>126174.10863823676</v>
      </c>
      <c r="P42" s="120">
        <f t="shared" si="143"/>
        <v>10279.124487452384</v>
      </c>
      <c r="Q42" s="120">
        <f t="shared" si="143"/>
        <v>11272.916260547616</v>
      </c>
      <c r="R42" s="120">
        <f t="shared" si="143"/>
        <v>21552.040747999999</v>
      </c>
      <c r="S42" s="120">
        <f t="shared" si="143"/>
        <v>6962.3005028968801</v>
      </c>
      <c r="T42" s="120">
        <f t="shared" si="143"/>
        <v>7818.7135481031182</v>
      </c>
      <c r="U42" s="120">
        <f t="shared" si="143"/>
        <v>14781.014050999998</v>
      </c>
      <c r="AE42" s="120">
        <f t="shared" ref="AE42:AP42" si="144">AE18+AE23</f>
        <v>14501.003775934232</v>
      </c>
      <c r="AF42" s="120">
        <f t="shared" si="144"/>
        <v>15514.443490065769</v>
      </c>
      <c r="AG42" s="120">
        <f t="shared" si="144"/>
        <v>30015.447265999999</v>
      </c>
      <c r="AH42" s="120">
        <f t="shared" si="144"/>
        <v>16096.268530130781</v>
      </c>
      <c r="AI42" s="120">
        <f t="shared" si="144"/>
        <v>15631.757469869221</v>
      </c>
      <c r="AJ42" s="120">
        <f t="shared" si="144"/>
        <v>31728.025999999998</v>
      </c>
      <c r="AK42" s="120">
        <f t="shared" si="144"/>
        <v>74189.032467097262</v>
      </c>
      <c r="AL42" s="120">
        <f t="shared" si="144"/>
        <v>75392.668292902759</v>
      </c>
      <c r="AM42" s="120">
        <f t="shared" si="144"/>
        <v>149581.70076000004</v>
      </c>
      <c r="AN42" s="120">
        <f t="shared" si="144"/>
        <v>5842.6029956634684</v>
      </c>
      <c r="AO42" s="120">
        <f t="shared" si="144"/>
        <v>9940.6280043365314</v>
      </c>
      <c r="AP42" s="120">
        <f t="shared" si="144"/>
        <v>15783.231</v>
      </c>
    </row>
    <row r="43" spans="1:42" hidden="1" x14ac:dyDescent="0.2">
      <c r="B43" s="132" t="s">
        <v>143</v>
      </c>
      <c r="D43" s="133">
        <f t="shared" ref="D43:U43" si="145">D42+D14</f>
        <v>15802.362433141101</v>
      </c>
      <c r="E43" s="133">
        <f t="shared" si="145"/>
        <v>15131.808511225861</v>
      </c>
      <c r="F43" s="133">
        <f t="shared" si="145"/>
        <v>30934.170944366964</v>
      </c>
      <c r="G43" s="133">
        <f t="shared" si="145"/>
        <v>132707.66907222831</v>
      </c>
      <c r="H43" s="133">
        <f t="shared" si="145"/>
        <v>127511.21140267797</v>
      </c>
      <c r="I43" s="133">
        <f t="shared" si="145"/>
        <v>260218.8804749063</v>
      </c>
      <c r="J43" s="133">
        <f t="shared" si="145"/>
        <v>9272.6118762280494</v>
      </c>
      <c r="K43" s="133">
        <f t="shared" si="145"/>
        <v>9306.8439947719489</v>
      </c>
      <c r="L43" s="133">
        <f t="shared" si="145"/>
        <v>18579.455871000002</v>
      </c>
      <c r="M43" s="133">
        <f t="shared" si="145"/>
        <v>65177.695031283452</v>
      </c>
      <c r="N43" s="133">
        <f t="shared" si="145"/>
        <v>65127.074606953327</v>
      </c>
      <c r="O43" s="133">
        <f t="shared" si="145"/>
        <v>130304.76963823676</v>
      </c>
      <c r="P43" s="133">
        <f t="shared" si="145"/>
        <v>10983.844268274301</v>
      </c>
      <c r="Q43" s="133">
        <f t="shared" si="145"/>
        <v>11989.316479725698</v>
      </c>
      <c r="R43" s="133">
        <f t="shared" si="145"/>
        <v>22973.160747999998</v>
      </c>
      <c r="S43" s="133">
        <f t="shared" si="145"/>
        <v>7148.3159385133185</v>
      </c>
      <c r="T43" s="133">
        <f t="shared" si="145"/>
        <v>8007.8121124866802</v>
      </c>
      <c r="U43" s="133">
        <f t="shared" si="145"/>
        <v>15156.128050999998</v>
      </c>
      <c r="AE43" s="133">
        <f t="shared" ref="AE43:AP43" si="146">AE42+AE14</f>
        <v>16013.807230728753</v>
      </c>
      <c r="AF43" s="133">
        <f t="shared" si="146"/>
        <v>17052.321035271249</v>
      </c>
      <c r="AG43" s="133">
        <f t="shared" si="146"/>
        <v>33066.128266</v>
      </c>
      <c r="AH43" s="133">
        <f t="shared" si="146"/>
        <v>21367.135313692423</v>
      </c>
      <c r="AI43" s="133">
        <f t="shared" si="146"/>
        <v>20989.986686307577</v>
      </c>
      <c r="AJ43" s="133">
        <f t="shared" si="146"/>
        <v>42357.121999999996</v>
      </c>
      <c r="AK43" s="133">
        <f t="shared" si="146"/>
        <v>78231.362494494519</v>
      </c>
      <c r="AL43" s="133">
        <f t="shared" si="146"/>
        <v>79501.998265505506</v>
      </c>
      <c r="AM43" s="133">
        <f t="shared" si="146"/>
        <v>157733.36076000004</v>
      </c>
      <c r="AN43" s="133">
        <f t="shared" si="146"/>
        <v>8354.804149088126</v>
      </c>
      <c r="AO43" s="133">
        <f t="shared" si="146"/>
        <v>12494.467850911875</v>
      </c>
      <c r="AP43" s="133">
        <f t="shared" si="146"/>
        <v>20849.272000000001</v>
      </c>
    </row>
    <row r="44" spans="1:42" hidden="1" x14ac:dyDescent="0.2">
      <c r="B44" s="132"/>
      <c r="AK44" s="137">
        <v>777.23581917808224</v>
      </c>
      <c r="AL44" s="137">
        <v>790.1181808219178</v>
      </c>
    </row>
    <row r="45" spans="1:42" hidden="1" x14ac:dyDescent="0.2">
      <c r="J45" s="120">
        <f>J43+J12</f>
        <v>9273.3924077348984</v>
      </c>
      <c r="K45" s="120">
        <f>K43+K12</f>
        <v>9307.6374632651005</v>
      </c>
      <c r="M45" s="120">
        <f>M43+M12</f>
        <v>65186.716269639619</v>
      </c>
      <c r="N45" s="120">
        <f>N43+N12</f>
        <v>65136.245368597163</v>
      </c>
      <c r="AK45" s="133">
        <f>AK43+AK44</f>
        <v>79008.598313672599</v>
      </c>
      <c r="AL45" s="133">
        <f>AL43+AL44</f>
        <v>80292.116446327418</v>
      </c>
      <c r="AM45" s="133">
        <f>AM21+AM26</f>
        <v>134800.34979949333</v>
      </c>
    </row>
    <row r="46" spans="1:42" hidden="1" x14ac:dyDescent="0.2">
      <c r="B46" s="132" t="s">
        <v>141</v>
      </c>
      <c r="G46" s="134">
        <f>G10*I46/I10</f>
        <v>50128.517543368805</v>
      </c>
      <c r="H46" s="134">
        <f>I46-G46</f>
        <v>47125.597456631214</v>
      </c>
      <c r="I46" s="134">
        <f>[1]У_Копи!$M$13</f>
        <v>97254.11500000002</v>
      </c>
      <c r="J46" s="135"/>
      <c r="K46" s="135"/>
      <c r="L46" s="135"/>
    </row>
    <row r="47" spans="1:42" hidden="1" x14ac:dyDescent="0.2">
      <c r="B47" s="132" t="s">
        <v>142</v>
      </c>
      <c r="G47" s="120">
        <f>G43+G12-G10</f>
        <v>90547.780665845814</v>
      </c>
      <c r="H47" s="120">
        <f>H43+H12-H10</f>
        <v>88486.319809060456</v>
      </c>
      <c r="I47" s="120">
        <f>G47+H47</f>
        <v>179034.10047490627</v>
      </c>
      <c r="J47" s="120"/>
      <c r="K47" s="120"/>
      <c r="L47" s="120"/>
    </row>
    <row r="48" spans="1:42" hidden="1" x14ac:dyDescent="0.2"/>
  </sheetData>
  <mergeCells count="44">
    <mergeCell ref="A1:U1"/>
    <mergeCell ref="A2:A6"/>
    <mergeCell ref="B2:B6"/>
    <mergeCell ref="C2:C6"/>
    <mergeCell ref="S5:U5"/>
    <mergeCell ref="D4:F4"/>
    <mergeCell ref="G4:I4"/>
    <mergeCell ref="J4:L4"/>
    <mergeCell ref="M4:O4"/>
    <mergeCell ref="P4:R4"/>
    <mergeCell ref="S4:U4"/>
    <mergeCell ref="D5:F5"/>
    <mergeCell ref="G5:I5"/>
    <mergeCell ref="J5:L5"/>
    <mergeCell ref="M5:O5"/>
    <mergeCell ref="P5:R5"/>
    <mergeCell ref="AN4:AP4"/>
    <mergeCell ref="AN5:AP5"/>
    <mergeCell ref="D2:AP2"/>
    <mergeCell ref="AH4:AJ4"/>
    <mergeCell ref="AH5:AJ5"/>
    <mergeCell ref="AK4:AM4"/>
    <mergeCell ref="AK5:AM5"/>
    <mergeCell ref="AB4:AD4"/>
    <mergeCell ref="AB5:AD5"/>
    <mergeCell ref="AE4:AG4"/>
    <mergeCell ref="AE5:AG5"/>
    <mergeCell ref="V4:X4"/>
    <mergeCell ref="V5:X5"/>
    <mergeCell ref="Y4:AA4"/>
    <mergeCell ref="Y5:AA5"/>
    <mergeCell ref="AH3:AJ3"/>
    <mergeCell ref="D3:F3"/>
    <mergeCell ref="G3:I3"/>
    <mergeCell ref="J3:L3"/>
    <mergeCell ref="M3:O3"/>
    <mergeCell ref="P3:R3"/>
    <mergeCell ref="AK3:AM3"/>
    <mergeCell ref="AN3:AP3"/>
    <mergeCell ref="S3:U3"/>
    <mergeCell ref="V3:X3"/>
    <mergeCell ref="Y3:AA3"/>
    <mergeCell ref="AB3:AD3"/>
    <mergeCell ref="AE3:AG3"/>
  </mergeCells>
  <printOptions horizontalCentered="1"/>
  <pageMargins left="0.39370078740157483" right="0.39370078740157483" top="1.1811023622047245" bottom="0.39370078740157483" header="0.31496062992125984" footer="0.31496062992125984"/>
  <pageSetup paperSize="9" scale="43" fitToWidth="3" orientation="landscape" blackAndWhite="1" r:id="rId1"/>
  <colBreaks count="1" manualBreakCount="1">
    <brk id="2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P65"/>
  <sheetViews>
    <sheetView view="pageBreakPreview" zoomScale="60" zoomScaleNormal="100" workbookViewId="0">
      <pane xSplit="3" ySplit="7" topLeftCell="K8" activePane="bottomRight" state="frozen"/>
      <selection activeCell="A17" sqref="A17"/>
      <selection pane="topRight" activeCell="A17" sqref="A17"/>
      <selection pane="bottomLeft" activeCell="A17" sqref="A17"/>
      <selection pane="bottomRight" activeCell="M71" sqref="M71"/>
    </sheetView>
  </sheetViews>
  <sheetFormatPr defaultColWidth="9.140625" defaultRowHeight="12.75" x14ac:dyDescent="0.2"/>
  <cols>
    <col min="1" max="1" width="6.7109375" style="105" customWidth="1"/>
    <col min="2" max="2" width="41" style="105" customWidth="1"/>
    <col min="3" max="3" width="10.7109375" style="105" customWidth="1"/>
    <col min="4" max="5" width="12.85546875" style="105" customWidth="1"/>
    <col min="6" max="6" width="11.85546875" style="105" customWidth="1"/>
    <col min="7" max="8" width="13.28515625" style="105" customWidth="1"/>
    <col min="9" max="11" width="14" style="105" customWidth="1"/>
    <col min="12" max="12" width="11.7109375" style="105" customWidth="1"/>
    <col min="13" max="14" width="13.140625" style="105" customWidth="1"/>
    <col min="15" max="15" width="12.42578125" style="105" customWidth="1"/>
    <col min="16" max="17" width="14.42578125" style="105" customWidth="1"/>
    <col min="18" max="18" width="11.7109375" style="105" customWidth="1"/>
    <col min="19" max="20" width="13.28515625" style="105" customWidth="1"/>
    <col min="21" max="21" width="11.7109375" style="105" customWidth="1"/>
    <col min="22" max="23" width="13.5703125" style="105" customWidth="1"/>
    <col min="24" max="24" width="11.7109375" style="105" customWidth="1"/>
    <col min="25" max="25" width="14.140625" style="105" customWidth="1"/>
    <col min="26" max="26" width="13.28515625" style="105" customWidth="1"/>
    <col min="27" max="27" width="11.7109375" style="105" customWidth="1"/>
    <col min="28" max="29" width="13.5703125" style="105" customWidth="1"/>
    <col min="30" max="30" width="11.7109375" style="105" customWidth="1"/>
    <col min="31" max="32" width="13" style="105" customWidth="1"/>
    <col min="33" max="33" width="11.7109375" style="105" customWidth="1"/>
    <col min="34" max="35" width="14" style="105" customWidth="1"/>
    <col min="36" max="36" width="11.7109375" style="105" customWidth="1"/>
    <col min="37" max="38" width="13.140625" style="105" customWidth="1"/>
    <col min="39" max="39" width="12.5703125" style="105" customWidth="1"/>
    <col min="40" max="41" width="13.5703125" style="105" customWidth="1"/>
    <col min="42" max="42" width="11.7109375" style="105" customWidth="1"/>
    <col min="43" max="16384" width="9.140625" style="105"/>
  </cols>
  <sheetData>
    <row r="1" spans="1:42" s="47" customFormat="1" ht="18.75" x14ac:dyDescent="0.3">
      <c r="A1" s="445" t="s">
        <v>83</v>
      </c>
      <c r="B1" s="445"/>
      <c r="C1" s="445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</row>
    <row r="2" spans="1:42" s="47" customFormat="1" ht="18.75" x14ac:dyDescent="0.3">
      <c r="A2" s="447" t="s">
        <v>84</v>
      </c>
      <c r="B2" s="450" t="s">
        <v>85</v>
      </c>
      <c r="C2" s="450" t="s">
        <v>30</v>
      </c>
      <c r="D2" s="443" t="s">
        <v>206</v>
      </c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443"/>
      <c r="AO2" s="443"/>
      <c r="AP2" s="444"/>
    </row>
    <row r="3" spans="1:42" s="48" customFormat="1" ht="14.25" customHeight="1" x14ac:dyDescent="0.2">
      <c r="A3" s="448"/>
      <c r="B3" s="450"/>
      <c r="C3" s="450"/>
      <c r="D3" s="423" t="s">
        <v>125</v>
      </c>
      <c r="E3" s="424"/>
      <c r="F3" s="425"/>
      <c r="G3" s="426" t="s">
        <v>124</v>
      </c>
      <c r="H3" s="427"/>
      <c r="I3" s="428"/>
      <c r="J3" s="429" t="s">
        <v>126</v>
      </c>
      <c r="K3" s="430"/>
      <c r="L3" s="431"/>
      <c r="M3" s="432" t="s">
        <v>127</v>
      </c>
      <c r="N3" s="433"/>
      <c r="O3" s="434"/>
      <c r="P3" s="435" t="s">
        <v>128</v>
      </c>
      <c r="Q3" s="436"/>
      <c r="R3" s="437"/>
      <c r="S3" s="420" t="s">
        <v>129</v>
      </c>
      <c r="T3" s="421"/>
      <c r="U3" s="422"/>
      <c r="V3" s="420" t="s">
        <v>130</v>
      </c>
      <c r="W3" s="421"/>
      <c r="X3" s="422"/>
      <c r="Y3" s="420" t="s">
        <v>131</v>
      </c>
      <c r="Z3" s="421"/>
      <c r="AA3" s="422"/>
      <c r="AB3" s="420" t="s">
        <v>132</v>
      </c>
      <c r="AC3" s="421"/>
      <c r="AD3" s="422"/>
      <c r="AE3" s="420" t="s">
        <v>133</v>
      </c>
      <c r="AF3" s="421"/>
      <c r="AG3" s="422"/>
      <c r="AH3" s="420" t="s">
        <v>134</v>
      </c>
      <c r="AI3" s="421"/>
      <c r="AJ3" s="422"/>
      <c r="AK3" s="420" t="s">
        <v>135</v>
      </c>
      <c r="AL3" s="421"/>
      <c r="AM3" s="422"/>
      <c r="AN3" s="420" t="s">
        <v>136</v>
      </c>
      <c r="AO3" s="421"/>
      <c r="AP3" s="422"/>
    </row>
    <row r="4" spans="1:42" s="48" customFormat="1" ht="15" customHeight="1" x14ac:dyDescent="0.2">
      <c r="A4" s="448"/>
      <c r="B4" s="450"/>
      <c r="C4" s="450"/>
      <c r="D4" s="451" t="s">
        <v>150</v>
      </c>
      <c r="E4" s="451"/>
      <c r="F4" s="452"/>
      <c r="G4" s="453" t="s">
        <v>150</v>
      </c>
      <c r="H4" s="453"/>
      <c r="I4" s="454"/>
      <c r="J4" s="455" t="s">
        <v>150</v>
      </c>
      <c r="K4" s="455"/>
      <c r="L4" s="456"/>
      <c r="M4" s="457" t="s">
        <v>150</v>
      </c>
      <c r="N4" s="457"/>
      <c r="O4" s="458"/>
      <c r="P4" s="459" t="s">
        <v>150</v>
      </c>
      <c r="Q4" s="459"/>
      <c r="R4" s="460"/>
      <c r="S4" s="461" t="s">
        <v>150</v>
      </c>
      <c r="T4" s="438"/>
      <c r="U4" s="439"/>
      <c r="V4" s="438" t="s">
        <v>150</v>
      </c>
      <c r="W4" s="438"/>
      <c r="X4" s="439"/>
      <c r="Y4" s="438" t="s">
        <v>150</v>
      </c>
      <c r="Z4" s="438"/>
      <c r="AA4" s="439"/>
      <c r="AB4" s="438" t="s">
        <v>150</v>
      </c>
      <c r="AC4" s="438"/>
      <c r="AD4" s="439"/>
      <c r="AE4" s="438" t="s">
        <v>150</v>
      </c>
      <c r="AF4" s="438"/>
      <c r="AG4" s="439"/>
      <c r="AH4" s="438" t="s">
        <v>150</v>
      </c>
      <c r="AI4" s="438"/>
      <c r="AJ4" s="439"/>
      <c r="AK4" s="438" t="s">
        <v>150</v>
      </c>
      <c r="AL4" s="438"/>
      <c r="AM4" s="439"/>
      <c r="AN4" s="438" t="s">
        <v>150</v>
      </c>
      <c r="AO4" s="438"/>
      <c r="AP4" s="439"/>
    </row>
    <row r="5" spans="1:42" s="48" customFormat="1" ht="15" customHeight="1" x14ac:dyDescent="0.2">
      <c r="A5" s="448"/>
      <c r="B5" s="450"/>
      <c r="C5" s="450"/>
      <c r="D5" s="462" t="s">
        <v>82</v>
      </c>
      <c r="E5" s="463"/>
      <c r="F5" s="464"/>
      <c r="G5" s="465" t="s">
        <v>82</v>
      </c>
      <c r="H5" s="466"/>
      <c r="I5" s="467"/>
      <c r="J5" s="468" t="s">
        <v>82</v>
      </c>
      <c r="K5" s="469"/>
      <c r="L5" s="470"/>
      <c r="M5" s="471" t="s">
        <v>82</v>
      </c>
      <c r="N5" s="472"/>
      <c r="O5" s="473"/>
      <c r="P5" s="474" t="s">
        <v>82</v>
      </c>
      <c r="Q5" s="475"/>
      <c r="R5" s="476"/>
      <c r="S5" s="440" t="s">
        <v>82</v>
      </c>
      <c r="T5" s="441"/>
      <c r="U5" s="442"/>
      <c r="V5" s="440" t="s">
        <v>82</v>
      </c>
      <c r="W5" s="441"/>
      <c r="X5" s="442"/>
      <c r="Y5" s="440" t="s">
        <v>82</v>
      </c>
      <c r="Z5" s="441"/>
      <c r="AA5" s="442"/>
      <c r="AB5" s="440" t="s">
        <v>82</v>
      </c>
      <c r="AC5" s="441"/>
      <c r="AD5" s="442"/>
      <c r="AE5" s="440" t="s">
        <v>82</v>
      </c>
      <c r="AF5" s="441"/>
      <c r="AG5" s="442"/>
      <c r="AH5" s="440" t="s">
        <v>82</v>
      </c>
      <c r="AI5" s="441"/>
      <c r="AJ5" s="442"/>
      <c r="AK5" s="440" t="s">
        <v>82</v>
      </c>
      <c r="AL5" s="441"/>
      <c r="AM5" s="442"/>
      <c r="AN5" s="440" t="s">
        <v>82</v>
      </c>
      <c r="AO5" s="441"/>
      <c r="AP5" s="442"/>
    </row>
    <row r="6" spans="1:42" s="48" customFormat="1" ht="15" x14ac:dyDescent="0.2">
      <c r="A6" s="449"/>
      <c r="B6" s="450"/>
      <c r="C6" s="450"/>
      <c r="D6" s="49" t="s">
        <v>87</v>
      </c>
      <c r="E6" s="49" t="s">
        <v>88</v>
      </c>
      <c r="F6" s="49" t="s">
        <v>86</v>
      </c>
      <c r="G6" s="50" t="s">
        <v>87</v>
      </c>
      <c r="H6" s="50" t="s">
        <v>88</v>
      </c>
      <c r="I6" s="50" t="s">
        <v>86</v>
      </c>
      <c r="J6" s="51" t="s">
        <v>87</v>
      </c>
      <c r="K6" s="51" t="s">
        <v>88</v>
      </c>
      <c r="L6" s="51" t="s">
        <v>86</v>
      </c>
      <c r="M6" s="52" t="s">
        <v>87</v>
      </c>
      <c r="N6" s="52" t="s">
        <v>88</v>
      </c>
      <c r="O6" s="52" t="s">
        <v>86</v>
      </c>
      <c r="P6" s="53" t="s">
        <v>87</v>
      </c>
      <c r="Q6" s="53" t="s">
        <v>88</v>
      </c>
      <c r="R6" s="53" t="s">
        <v>86</v>
      </c>
      <c r="S6" s="54" t="s">
        <v>87</v>
      </c>
      <c r="T6" s="54" t="s">
        <v>88</v>
      </c>
      <c r="U6" s="54" t="s">
        <v>86</v>
      </c>
      <c r="V6" s="54" t="s">
        <v>87</v>
      </c>
      <c r="W6" s="54" t="s">
        <v>88</v>
      </c>
      <c r="X6" s="54" t="s">
        <v>86</v>
      </c>
      <c r="Y6" s="54" t="s">
        <v>87</v>
      </c>
      <c r="Z6" s="54" t="s">
        <v>88</v>
      </c>
      <c r="AA6" s="54" t="s">
        <v>86</v>
      </c>
      <c r="AB6" s="54" t="s">
        <v>87</v>
      </c>
      <c r="AC6" s="54" t="s">
        <v>88</v>
      </c>
      <c r="AD6" s="54" t="s">
        <v>86</v>
      </c>
      <c r="AE6" s="54" t="s">
        <v>87</v>
      </c>
      <c r="AF6" s="54" t="s">
        <v>88</v>
      </c>
      <c r="AG6" s="54" t="s">
        <v>86</v>
      </c>
      <c r="AH6" s="54" t="s">
        <v>87</v>
      </c>
      <c r="AI6" s="54" t="s">
        <v>88</v>
      </c>
      <c r="AJ6" s="54" t="s">
        <v>86</v>
      </c>
      <c r="AK6" s="54" t="s">
        <v>87</v>
      </c>
      <c r="AL6" s="54" t="s">
        <v>88</v>
      </c>
      <c r="AM6" s="54" t="s">
        <v>86</v>
      </c>
      <c r="AN6" s="54" t="s">
        <v>87</v>
      </c>
      <c r="AO6" s="54" t="s">
        <v>88</v>
      </c>
      <c r="AP6" s="54" t="s">
        <v>86</v>
      </c>
    </row>
    <row r="7" spans="1:42" s="55" customFormat="1" ht="15" x14ac:dyDescent="0.2">
      <c r="A7" s="280">
        <v>1</v>
      </c>
      <c r="B7" s="280">
        <f>A7+1</f>
        <v>2</v>
      </c>
      <c r="C7" s="128">
        <f t="shared" ref="C7:AP7" si="0">B7+1</f>
        <v>3</v>
      </c>
      <c r="D7" s="128">
        <f t="shared" si="0"/>
        <v>4</v>
      </c>
      <c r="E7" s="128">
        <f t="shared" si="0"/>
        <v>5</v>
      </c>
      <c r="F7" s="128">
        <f t="shared" si="0"/>
        <v>6</v>
      </c>
      <c r="G7" s="128">
        <f t="shared" si="0"/>
        <v>7</v>
      </c>
      <c r="H7" s="128">
        <f t="shared" si="0"/>
        <v>8</v>
      </c>
      <c r="I7" s="128">
        <f t="shared" si="0"/>
        <v>9</v>
      </c>
      <c r="J7" s="128">
        <f t="shared" si="0"/>
        <v>10</v>
      </c>
      <c r="K7" s="128">
        <f t="shared" si="0"/>
        <v>11</v>
      </c>
      <c r="L7" s="128">
        <f t="shared" si="0"/>
        <v>12</v>
      </c>
      <c r="M7" s="128">
        <f t="shared" si="0"/>
        <v>13</v>
      </c>
      <c r="N7" s="128">
        <f t="shared" si="0"/>
        <v>14</v>
      </c>
      <c r="O7" s="128">
        <f t="shared" si="0"/>
        <v>15</v>
      </c>
      <c r="P7" s="128">
        <f t="shared" si="0"/>
        <v>16</v>
      </c>
      <c r="Q7" s="128">
        <f t="shared" si="0"/>
        <v>17</v>
      </c>
      <c r="R7" s="128">
        <f t="shared" si="0"/>
        <v>18</v>
      </c>
      <c r="S7" s="174">
        <f t="shared" si="0"/>
        <v>19</v>
      </c>
      <c r="T7" s="174">
        <f t="shared" si="0"/>
        <v>20</v>
      </c>
      <c r="U7" s="174">
        <f t="shared" si="0"/>
        <v>21</v>
      </c>
      <c r="V7" s="128">
        <f t="shared" si="0"/>
        <v>22</v>
      </c>
      <c r="W7" s="128">
        <f t="shared" si="0"/>
        <v>23</v>
      </c>
      <c r="X7" s="128">
        <f t="shared" si="0"/>
        <v>24</v>
      </c>
      <c r="Y7" s="128">
        <f t="shared" si="0"/>
        <v>25</v>
      </c>
      <c r="Z7" s="128">
        <f t="shared" si="0"/>
        <v>26</v>
      </c>
      <c r="AA7" s="128">
        <f t="shared" si="0"/>
        <v>27</v>
      </c>
      <c r="AB7" s="128">
        <f t="shared" si="0"/>
        <v>28</v>
      </c>
      <c r="AC7" s="128">
        <f t="shared" si="0"/>
        <v>29</v>
      </c>
      <c r="AD7" s="128">
        <f t="shared" si="0"/>
        <v>30</v>
      </c>
      <c r="AE7" s="128">
        <f t="shared" si="0"/>
        <v>31</v>
      </c>
      <c r="AF7" s="128">
        <f t="shared" si="0"/>
        <v>32</v>
      </c>
      <c r="AG7" s="128">
        <f t="shared" si="0"/>
        <v>33</v>
      </c>
      <c r="AH7" s="128">
        <f t="shared" si="0"/>
        <v>34</v>
      </c>
      <c r="AI7" s="128">
        <f t="shared" si="0"/>
        <v>35</v>
      </c>
      <c r="AJ7" s="128">
        <f t="shared" si="0"/>
        <v>36</v>
      </c>
      <c r="AK7" s="128">
        <f t="shared" si="0"/>
        <v>37</v>
      </c>
      <c r="AL7" s="128">
        <f t="shared" si="0"/>
        <v>38</v>
      </c>
      <c r="AM7" s="128">
        <f t="shared" si="0"/>
        <v>39</v>
      </c>
      <c r="AN7" s="128">
        <f t="shared" si="0"/>
        <v>40</v>
      </c>
      <c r="AO7" s="128">
        <f t="shared" si="0"/>
        <v>41</v>
      </c>
      <c r="AP7" s="128">
        <f t="shared" si="0"/>
        <v>42</v>
      </c>
    </row>
    <row r="8" spans="1:42" s="55" customFormat="1" ht="28.5" x14ac:dyDescent="0.2">
      <c r="A8" s="176" t="s">
        <v>5</v>
      </c>
      <c r="B8" s="56" t="s">
        <v>89</v>
      </c>
      <c r="C8" s="57" t="s">
        <v>90</v>
      </c>
      <c r="D8" s="58">
        <f t="shared" ref="D8:AP8" si="1">D9+D10</f>
        <v>15802.361999999999</v>
      </c>
      <c r="E8" s="59">
        <f t="shared" si="1"/>
        <v>15131.808999999999</v>
      </c>
      <c r="F8" s="60">
        <f t="shared" si="1"/>
        <v>30934.170999999998</v>
      </c>
      <c r="G8" s="58">
        <f t="shared" si="1"/>
        <v>50128.517999999996</v>
      </c>
      <c r="H8" s="59">
        <f t="shared" si="1"/>
        <v>47125.597000000002</v>
      </c>
      <c r="I8" s="60">
        <f t="shared" si="1"/>
        <v>97254.114999999991</v>
      </c>
      <c r="J8" s="58">
        <f t="shared" si="1"/>
        <v>9273.3919999999998</v>
      </c>
      <c r="K8" s="59">
        <f t="shared" si="1"/>
        <v>9307.6380000000008</v>
      </c>
      <c r="L8" s="60">
        <f t="shared" si="1"/>
        <v>18581.03</v>
      </c>
      <c r="M8" s="58">
        <f t="shared" si="1"/>
        <v>65186.716999999997</v>
      </c>
      <c r="N8" s="59">
        <f t="shared" si="1"/>
        <v>65136.245000000003</v>
      </c>
      <c r="O8" s="60">
        <f t="shared" si="1"/>
        <v>130322.962</v>
      </c>
      <c r="P8" s="58">
        <f t="shared" si="1"/>
        <v>10983.843999999999</v>
      </c>
      <c r="Q8" s="59">
        <f t="shared" si="1"/>
        <v>11989.316999999999</v>
      </c>
      <c r="R8" s="190">
        <f t="shared" si="1"/>
        <v>22973.161</v>
      </c>
      <c r="S8" s="58">
        <f t="shared" si="1"/>
        <v>7148.3159999999998</v>
      </c>
      <c r="T8" s="59">
        <f t="shared" si="1"/>
        <v>8007.8119999999999</v>
      </c>
      <c r="U8" s="106">
        <f t="shared" si="1"/>
        <v>15156.128000000001</v>
      </c>
      <c r="V8" s="58">
        <f t="shared" si="1"/>
        <v>9421.9409999999989</v>
      </c>
      <c r="W8" s="59">
        <f t="shared" si="1"/>
        <v>9364.8959999999988</v>
      </c>
      <c r="X8" s="60">
        <f t="shared" si="1"/>
        <v>18786.837</v>
      </c>
      <c r="Y8" s="58">
        <f t="shared" si="1"/>
        <v>2993.2260000000001</v>
      </c>
      <c r="Z8" s="59">
        <f t="shared" si="1"/>
        <v>3024.6959999999999</v>
      </c>
      <c r="AA8" s="60">
        <f t="shared" si="1"/>
        <v>6017.9220000000005</v>
      </c>
      <c r="AB8" s="58">
        <f t="shared" si="1"/>
        <v>25344.396000000001</v>
      </c>
      <c r="AC8" s="59">
        <f t="shared" si="1"/>
        <v>24712.542000000001</v>
      </c>
      <c r="AD8" s="60">
        <f t="shared" si="1"/>
        <v>50056.938000000002</v>
      </c>
      <c r="AE8" s="58">
        <f t="shared" si="1"/>
        <v>16013.807000000001</v>
      </c>
      <c r="AF8" s="59">
        <f t="shared" si="1"/>
        <v>17052.321</v>
      </c>
      <c r="AG8" s="60">
        <f t="shared" si="1"/>
        <v>33066.127999999997</v>
      </c>
      <c r="AH8" s="58">
        <f t="shared" si="1"/>
        <v>21367.134999999998</v>
      </c>
      <c r="AI8" s="59">
        <f t="shared" si="1"/>
        <v>20989.987000000001</v>
      </c>
      <c r="AJ8" s="60">
        <f t="shared" si="1"/>
        <v>42357.122000000003</v>
      </c>
      <c r="AK8" s="58">
        <f t="shared" si="1"/>
        <v>79008.597999999998</v>
      </c>
      <c r="AL8" s="59">
        <f t="shared" si="1"/>
        <v>80292.116999999998</v>
      </c>
      <c r="AM8" s="60">
        <f t="shared" si="1"/>
        <v>159300.715</v>
      </c>
      <c r="AN8" s="58">
        <f t="shared" si="1"/>
        <v>8354.8040000000001</v>
      </c>
      <c r="AO8" s="59">
        <f t="shared" si="1"/>
        <v>12494.468000000001</v>
      </c>
      <c r="AP8" s="106">
        <f t="shared" si="1"/>
        <v>20849.272000000001</v>
      </c>
    </row>
    <row r="9" spans="1:42" s="55" customFormat="1" ht="15" x14ac:dyDescent="0.2">
      <c r="A9" s="61" t="s">
        <v>33</v>
      </c>
      <c r="B9" s="62" t="s">
        <v>91</v>
      </c>
      <c r="C9" s="63" t="s">
        <v>90</v>
      </c>
      <c r="D9" s="121">
        <v>15802.361999999999</v>
      </c>
      <c r="E9" s="115">
        <v>15131.808999999999</v>
      </c>
      <c r="F9" s="115">
        <f>D9+E9</f>
        <v>30934.170999999998</v>
      </c>
      <c r="G9" s="121"/>
      <c r="H9" s="115"/>
      <c r="I9" s="115">
        <f>G9+H9</f>
        <v>0</v>
      </c>
      <c r="J9" s="121"/>
      <c r="K9" s="115"/>
      <c r="L9" s="115"/>
      <c r="M9" s="121"/>
      <c r="N9" s="115"/>
      <c r="O9" s="115">
        <f>M9+N9</f>
        <v>0</v>
      </c>
      <c r="P9" s="121"/>
      <c r="Q9" s="115"/>
      <c r="R9" s="191"/>
      <c r="S9" s="121"/>
      <c r="T9" s="115"/>
      <c r="U9" s="119"/>
      <c r="V9" s="121"/>
      <c r="W9" s="115"/>
      <c r="X9" s="115">
        <f>V9+W9</f>
        <v>0</v>
      </c>
      <c r="Y9" s="121">
        <v>2993.2260000000001</v>
      </c>
      <c r="Z9" s="115">
        <v>3024.6959999999999</v>
      </c>
      <c r="AA9" s="115">
        <f>Y9+Z9</f>
        <v>6017.9220000000005</v>
      </c>
      <c r="AB9" s="121"/>
      <c r="AC9" s="115"/>
      <c r="AD9" s="115"/>
      <c r="AE9" s="121"/>
      <c r="AF9" s="115"/>
      <c r="AG9" s="115">
        <f>AE9+AF9</f>
        <v>0</v>
      </c>
      <c r="AH9" s="121"/>
      <c r="AI9" s="115"/>
      <c r="AJ9" s="115">
        <f>AH9+AI9</f>
        <v>0</v>
      </c>
      <c r="AK9" s="71"/>
      <c r="AL9" s="72"/>
      <c r="AM9" s="115">
        <f>AK9+AL9</f>
        <v>0</v>
      </c>
      <c r="AN9" s="121">
        <v>8354.8040000000001</v>
      </c>
      <c r="AO9" s="115">
        <v>12494.468000000001</v>
      </c>
      <c r="AP9" s="119">
        <f>AN9+AO9</f>
        <v>20849.272000000001</v>
      </c>
    </row>
    <row r="10" spans="1:42" s="55" customFormat="1" ht="15" x14ac:dyDescent="0.2">
      <c r="A10" s="84" t="s">
        <v>34</v>
      </c>
      <c r="B10" s="65" t="s">
        <v>92</v>
      </c>
      <c r="C10" s="66" t="s">
        <v>90</v>
      </c>
      <c r="D10" s="71"/>
      <c r="E10" s="72"/>
      <c r="F10" s="72"/>
      <c r="G10" s="71">
        <v>50128.517999999996</v>
      </c>
      <c r="H10" s="72">
        <v>47125.597000000002</v>
      </c>
      <c r="I10" s="72">
        <f>G10+H10</f>
        <v>97254.114999999991</v>
      </c>
      <c r="J10" s="71">
        <v>9273.3919999999998</v>
      </c>
      <c r="K10" s="72">
        <v>9307.6380000000008</v>
      </c>
      <c r="L10" s="72">
        <f>J10+K10</f>
        <v>18581.03</v>
      </c>
      <c r="M10" s="71">
        <v>65186.716999999997</v>
      </c>
      <c r="N10" s="72">
        <v>65136.245000000003</v>
      </c>
      <c r="O10" s="72">
        <f>M10+N10</f>
        <v>130322.962</v>
      </c>
      <c r="P10" s="71">
        <v>10983.843999999999</v>
      </c>
      <c r="Q10" s="72">
        <v>11989.316999999999</v>
      </c>
      <c r="R10" s="184">
        <f>P10+Q10</f>
        <v>22973.161</v>
      </c>
      <c r="S10" s="71">
        <v>7148.3159999999998</v>
      </c>
      <c r="T10" s="72">
        <v>8007.8119999999999</v>
      </c>
      <c r="U10" s="108">
        <f>S10+T10</f>
        <v>15156.128000000001</v>
      </c>
      <c r="V10" s="71">
        <v>9421.9409999999989</v>
      </c>
      <c r="W10" s="72">
        <v>9364.8959999999988</v>
      </c>
      <c r="X10" s="72">
        <f>V10+W10</f>
        <v>18786.837</v>
      </c>
      <c r="Y10" s="71"/>
      <c r="Z10" s="72"/>
      <c r="AA10" s="72">
        <f>Y10+Z10</f>
        <v>0</v>
      </c>
      <c r="AB10" s="71">
        <v>25344.396000000001</v>
      </c>
      <c r="AC10" s="72">
        <v>24712.542000000001</v>
      </c>
      <c r="AD10" s="72">
        <f>AB10+AC10</f>
        <v>50056.938000000002</v>
      </c>
      <c r="AE10" s="71">
        <v>16013.807000000001</v>
      </c>
      <c r="AF10" s="72">
        <v>17052.321</v>
      </c>
      <c r="AG10" s="72">
        <f>AE10+AF10</f>
        <v>33066.127999999997</v>
      </c>
      <c r="AH10" s="71">
        <v>21367.134999999998</v>
      </c>
      <c r="AI10" s="72">
        <v>20989.987000000001</v>
      </c>
      <c r="AJ10" s="72">
        <f>AH10+AI10</f>
        <v>42357.122000000003</v>
      </c>
      <c r="AK10" s="122">
        <v>79008.597999999998</v>
      </c>
      <c r="AL10" s="123">
        <v>80292.116999999998</v>
      </c>
      <c r="AM10" s="72">
        <f>AK10+AL10</f>
        <v>159300.715</v>
      </c>
      <c r="AN10" s="71"/>
      <c r="AO10" s="72"/>
      <c r="AP10" s="108">
        <f>AN10+AO10</f>
        <v>0</v>
      </c>
    </row>
    <row r="11" spans="1:42" s="55" customFormat="1" ht="28.5" x14ac:dyDescent="0.2">
      <c r="A11" s="85" t="s">
        <v>6</v>
      </c>
      <c r="B11" s="68" t="s">
        <v>93</v>
      </c>
      <c r="C11" s="66" t="s">
        <v>90</v>
      </c>
      <c r="D11" s="114"/>
      <c r="E11" s="116"/>
      <c r="F11" s="69"/>
      <c r="G11" s="114">
        <v>90547.781000000003</v>
      </c>
      <c r="H11" s="116">
        <v>88486.319000000003</v>
      </c>
      <c r="I11" s="69">
        <f>G11+H11</f>
        <v>179034.1</v>
      </c>
      <c r="J11" s="114"/>
      <c r="K11" s="116"/>
      <c r="L11" s="69"/>
      <c r="M11" s="114"/>
      <c r="N11" s="116"/>
      <c r="O11" s="69"/>
      <c r="P11" s="114"/>
      <c r="Q11" s="116"/>
      <c r="R11" s="192"/>
      <c r="S11" s="114"/>
      <c r="T11" s="116"/>
      <c r="U11" s="109"/>
      <c r="V11" s="114"/>
      <c r="W11" s="116"/>
      <c r="X11" s="69"/>
      <c r="Y11" s="114"/>
      <c r="Z11" s="116"/>
      <c r="AA11" s="69"/>
      <c r="AB11" s="114"/>
      <c r="AC11" s="116"/>
      <c r="AD11" s="69"/>
      <c r="AE11" s="114"/>
      <c r="AF11" s="116"/>
      <c r="AG11" s="69"/>
      <c r="AH11" s="114"/>
      <c r="AI11" s="116"/>
      <c r="AJ11" s="69"/>
      <c r="AK11" s="114"/>
      <c r="AL11" s="116"/>
      <c r="AM11" s="69"/>
      <c r="AN11" s="114"/>
      <c r="AO11" s="116"/>
      <c r="AP11" s="109"/>
    </row>
    <row r="12" spans="1:42" s="55" customFormat="1" ht="15" x14ac:dyDescent="0.2">
      <c r="A12" s="84" t="s">
        <v>7</v>
      </c>
      <c r="B12" s="70" t="s">
        <v>94</v>
      </c>
      <c r="C12" s="66" t="s">
        <v>90</v>
      </c>
      <c r="D12" s="71"/>
      <c r="E12" s="72"/>
      <c r="F12" s="67"/>
      <c r="G12" s="71">
        <v>7968.6289999999999</v>
      </c>
      <c r="H12" s="72">
        <v>8100.7060000000001</v>
      </c>
      <c r="I12" s="67">
        <f>G12+H12</f>
        <v>16069.334999999999</v>
      </c>
      <c r="J12" s="71">
        <v>0.78</v>
      </c>
      <c r="K12" s="72">
        <v>0.79400000000000004</v>
      </c>
      <c r="L12" s="67">
        <f>J12+K12</f>
        <v>1.5740000000000001</v>
      </c>
      <c r="M12" s="71">
        <v>9.0210000000000008</v>
      </c>
      <c r="N12" s="72">
        <v>9.1709999999999994</v>
      </c>
      <c r="O12" s="67">
        <f>M12+N12</f>
        <v>18.192</v>
      </c>
      <c r="P12" s="71"/>
      <c r="Q12" s="72"/>
      <c r="R12" s="193"/>
      <c r="S12" s="71"/>
      <c r="T12" s="72"/>
      <c r="U12" s="108">
        <f>S12+T12</f>
        <v>0</v>
      </c>
      <c r="V12" s="71">
        <v>1313.4960000000001</v>
      </c>
      <c r="W12" s="72">
        <v>1335.2670000000001</v>
      </c>
      <c r="X12" s="67">
        <f>V12+W12</f>
        <v>2648.7629999999999</v>
      </c>
      <c r="Y12" s="71">
        <v>373.89400000000001</v>
      </c>
      <c r="Z12" s="72">
        <v>380.09199999999998</v>
      </c>
      <c r="AA12" s="67">
        <f>Y12+Z12</f>
        <v>753.98599999999999</v>
      </c>
      <c r="AB12" s="71">
        <v>1928.232</v>
      </c>
      <c r="AC12" s="72">
        <v>1960.191</v>
      </c>
      <c r="AD12" s="67">
        <f>AB12+AC12</f>
        <v>3888.4229999999998</v>
      </c>
      <c r="AE12" s="71"/>
      <c r="AF12" s="72"/>
      <c r="AG12" s="67">
        <f>AE12+AF12</f>
        <v>0</v>
      </c>
      <c r="AH12" s="71"/>
      <c r="AI12" s="72"/>
      <c r="AJ12" s="67">
        <f>AH12+AI12</f>
        <v>0</v>
      </c>
      <c r="AK12" s="71">
        <v>777.23599999999999</v>
      </c>
      <c r="AL12" s="72">
        <v>790.11800000000005</v>
      </c>
      <c r="AM12" s="67">
        <f>AK12+AL12</f>
        <v>1567.354</v>
      </c>
      <c r="AN12" s="71"/>
      <c r="AO12" s="72"/>
      <c r="AP12" s="108">
        <f>AN12+AO12</f>
        <v>0</v>
      </c>
    </row>
    <row r="13" spans="1:42" s="55" customFormat="1" ht="15" x14ac:dyDescent="0.2">
      <c r="A13" s="84" t="s">
        <v>8</v>
      </c>
      <c r="B13" s="70" t="s">
        <v>95</v>
      </c>
      <c r="C13" s="66" t="s">
        <v>90</v>
      </c>
      <c r="D13" s="71">
        <f t="shared" ref="D13:F13" si="2">D8+D11-D12</f>
        <v>15802.361999999999</v>
      </c>
      <c r="E13" s="72">
        <f t="shared" si="2"/>
        <v>15131.808999999999</v>
      </c>
      <c r="F13" s="64">
        <f t="shared" si="2"/>
        <v>30934.170999999998</v>
      </c>
      <c r="G13" s="71">
        <f>G8+G11-G12</f>
        <v>132707.67000000001</v>
      </c>
      <c r="H13" s="72">
        <f>H8+H11-H12</f>
        <v>127511.20999999999</v>
      </c>
      <c r="I13" s="64">
        <f t="shared" ref="I13:AP13" si="3">I8+I11-I12</f>
        <v>260218.87999999998</v>
      </c>
      <c r="J13" s="71">
        <f t="shared" si="3"/>
        <v>9272.6119999999992</v>
      </c>
      <c r="K13" s="72">
        <f t="shared" si="3"/>
        <v>9306.844000000001</v>
      </c>
      <c r="L13" s="64">
        <f t="shared" si="3"/>
        <v>18579.455999999998</v>
      </c>
      <c r="M13" s="71">
        <f t="shared" si="3"/>
        <v>65177.695999999996</v>
      </c>
      <c r="N13" s="72">
        <f t="shared" si="3"/>
        <v>65127.074000000001</v>
      </c>
      <c r="O13" s="64">
        <f t="shared" si="3"/>
        <v>130304.77</v>
      </c>
      <c r="P13" s="71">
        <f t="shared" si="3"/>
        <v>10983.843999999999</v>
      </c>
      <c r="Q13" s="72">
        <f t="shared" si="3"/>
        <v>11989.316999999999</v>
      </c>
      <c r="R13" s="194">
        <f t="shared" si="3"/>
        <v>22973.161</v>
      </c>
      <c r="S13" s="71">
        <f t="shared" si="3"/>
        <v>7148.3159999999998</v>
      </c>
      <c r="T13" s="72">
        <f t="shared" si="3"/>
        <v>8007.8119999999999</v>
      </c>
      <c r="U13" s="107">
        <f t="shared" si="3"/>
        <v>15156.128000000001</v>
      </c>
      <c r="V13" s="71">
        <f t="shared" si="3"/>
        <v>8108.4449999999988</v>
      </c>
      <c r="W13" s="72">
        <f t="shared" si="3"/>
        <v>8029.628999999999</v>
      </c>
      <c r="X13" s="64">
        <f t="shared" si="3"/>
        <v>16138.074000000001</v>
      </c>
      <c r="Y13" s="71">
        <f t="shared" si="3"/>
        <v>2619.3320000000003</v>
      </c>
      <c r="Z13" s="72">
        <f t="shared" si="3"/>
        <v>2644.6039999999998</v>
      </c>
      <c r="AA13" s="64">
        <f t="shared" si="3"/>
        <v>5263.9360000000006</v>
      </c>
      <c r="AB13" s="71">
        <f t="shared" si="3"/>
        <v>23416.164000000001</v>
      </c>
      <c r="AC13" s="72">
        <f t="shared" si="3"/>
        <v>22752.351000000002</v>
      </c>
      <c r="AD13" s="64">
        <f t="shared" si="3"/>
        <v>46168.514999999999</v>
      </c>
      <c r="AE13" s="71">
        <f t="shared" si="3"/>
        <v>16013.807000000001</v>
      </c>
      <c r="AF13" s="72">
        <f t="shared" si="3"/>
        <v>17052.321</v>
      </c>
      <c r="AG13" s="64">
        <f t="shared" si="3"/>
        <v>33066.127999999997</v>
      </c>
      <c r="AH13" s="71">
        <f t="shared" si="3"/>
        <v>21367.134999999998</v>
      </c>
      <c r="AI13" s="72">
        <f t="shared" si="3"/>
        <v>20989.987000000001</v>
      </c>
      <c r="AJ13" s="64">
        <f t="shared" si="3"/>
        <v>42357.122000000003</v>
      </c>
      <c r="AK13" s="71">
        <f t="shared" si="3"/>
        <v>78231.361999999994</v>
      </c>
      <c r="AL13" s="72">
        <f t="shared" si="3"/>
        <v>79501.998999999996</v>
      </c>
      <c r="AM13" s="64">
        <f t="shared" si="3"/>
        <v>157733.361</v>
      </c>
      <c r="AN13" s="71">
        <f t="shared" si="3"/>
        <v>8354.8040000000001</v>
      </c>
      <c r="AO13" s="72">
        <f t="shared" si="3"/>
        <v>12494.468000000001</v>
      </c>
      <c r="AP13" s="107">
        <f t="shared" si="3"/>
        <v>20849.272000000001</v>
      </c>
    </row>
    <row r="14" spans="1:42" s="55" customFormat="1" ht="15" x14ac:dyDescent="0.2">
      <c r="A14" s="84" t="s">
        <v>9</v>
      </c>
      <c r="B14" s="70" t="s">
        <v>96</v>
      </c>
      <c r="C14" s="66" t="s">
        <v>90</v>
      </c>
      <c r="D14" s="71">
        <f t="shared" ref="D14:AP14" si="4">D15+D16</f>
        <v>1173.6600000000001</v>
      </c>
      <c r="E14" s="72">
        <f t="shared" si="4"/>
        <v>1193.1130000000001</v>
      </c>
      <c r="F14" s="67">
        <f t="shared" si="4"/>
        <v>2366.7730000000001</v>
      </c>
      <c r="G14" s="71">
        <f t="shared" si="4"/>
        <v>4318.97</v>
      </c>
      <c r="H14" s="72">
        <f>H15+H16</f>
        <v>4390.5559999999996</v>
      </c>
      <c r="I14" s="67">
        <f t="shared" si="4"/>
        <v>8709.5259999999998</v>
      </c>
      <c r="J14" s="71">
        <f t="shared" si="4"/>
        <v>345.96199999999999</v>
      </c>
      <c r="K14" s="72">
        <f t="shared" si="4"/>
        <v>351.69600000000003</v>
      </c>
      <c r="L14" s="67">
        <f t="shared" si="4"/>
        <v>697.65800000000002</v>
      </c>
      <c r="M14" s="71">
        <f t="shared" si="4"/>
        <v>2048.355</v>
      </c>
      <c r="N14" s="72">
        <f t="shared" si="4"/>
        <v>2082.306</v>
      </c>
      <c r="O14" s="67">
        <f t="shared" si="4"/>
        <v>4130.6610000000001</v>
      </c>
      <c r="P14" s="71">
        <f t="shared" si="4"/>
        <v>704.72</v>
      </c>
      <c r="Q14" s="72">
        <f t="shared" si="4"/>
        <v>716.4</v>
      </c>
      <c r="R14" s="193">
        <f t="shared" si="4"/>
        <v>1421.12</v>
      </c>
      <c r="S14" s="71">
        <f t="shared" si="4"/>
        <v>186.01499999999999</v>
      </c>
      <c r="T14" s="72">
        <f t="shared" si="4"/>
        <v>189.09899999999999</v>
      </c>
      <c r="U14" s="108">
        <f t="shared" si="4"/>
        <v>375.11399999999998</v>
      </c>
      <c r="V14" s="71">
        <f t="shared" si="4"/>
        <v>897.495</v>
      </c>
      <c r="W14" s="72">
        <f t="shared" si="4"/>
        <v>912.37199999999996</v>
      </c>
      <c r="X14" s="67">
        <f t="shared" si="4"/>
        <v>1809.867</v>
      </c>
      <c r="Y14" s="71">
        <f t="shared" si="4"/>
        <v>459.62799999999999</v>
      </c>
      <c r="Z14" s="72">
        <f t="shared" si="4"/>
        <v>467.24599999999998</v>
      </c>
      <c r="AA14" s="67">
        <f t="shared" si="4"/>
        <v>926.87400000000002</v>
      </c>
      <c r="AB14" s="71">
        <f t="shared" si="4"/>
        <v>2228.0949999999998</v>
      </c>
      <c r="AC14" s="72">
        <f t="shared" si="4"/>
        <v>2265.0250000000001</v>
      </c>
      <c r="AD14" s="67">
        <f t="shared" si="4"/>
        <v>4493.12</v>
      </c>
      <c r="AE14" s="71">
        <f t="shared" si="4"/>
        <v>1512.8030000000001</v>
      </c>
      <c r="AF14" s="72">
        <f t="shared" si="4"/>
        <v>1537.8779999999999</v>
      </c>
      <c r="AG14" s="67">
        <f t="shared" si="4"/>
        <v>3050.681</v>
      </c>
      <c r="AH14" s="71">
        <f t="shared" si="4"/>
        <v>5270.8670000000002</v>
      </c>
      <c r="AI14" s="72">
        <f t="shared" si="4"/>
        <v>5358.2290000000003</v>
      </c>
      <c r="AJ14" s="67">
        <f t="shared" si="4"/>
        <v>10629.096000000001</v>
      </c>
      <c r="AK14" s="71">
        <f t="shared" si="4"/>
        <v>4042.33</v>
      </c>
      <c r="AL14" s="72">
        <f t="shared" si="4"/>
        <v>4109.33</v>
      </c>
      <c r="AM14" s="67">
        <f t="shared" si="4"/>
        <v>8151.66</v>
      </c>
      <c r="AN14" s="71">
        <f t="shared" si="4"/>
        <v>2512.1999999999998</v>
      </c>
      <c r="AO14" s="72">
        <f t="shared" si="4"/>
        <v>2553.8409999999999</v>
      </c>
      <c r="AP14" s="108">
        <f t="shared" si="4"/>
        <v>5066.0409999999993</v>
      </c>
    </row>
    <row r="15" spans="1:42" s="55" customFormat="1" ht="15" x14ac:dyDescent="0.2">
      <c r="A15" s="177" t="s">
        <v>97</v>
      </c>
      <c r="B15" s="73" t="s">
        <v>98</v>
      </c>
      <c r="C15" s="74" t="s">
        <v>90</v>
      </c>
      <c r="D15" s="122">
        <v>1173.6600000000001</v>
      </c>
      <c r="E15" s="123">
        <v>1193.1130000000001</v>
      </c>
      <c r="F15" s="67">
        <f>D15+E15</f>
        <v>2366.7730000000001</v>
      </c>
      <c r="G15" s="122">
        <v>4318.97</v>
      </c>
      <c r="H15" s="123">
        <v>4390.5559999999996</v>
      </c>
      <c r="I15" s="67">
        <f>G15+H15</f>
        <v>8709.5259999999998</v>
      </c>
      <c r="J15" s="122">
        <v>345.96199999999999</v>
      </c>
      <c r="K15" s="123">
        <v>351.69600000000003</v>
      </c>
      <c r="L15" s="67">
        <f>J15+K15</f>
        <v>697.65800000000002</v>
      </c>
      <c r="M15" s="122">
        <v>2048.355</v>
      </c>
      <c r="N15" s="123">
        <v>2082.306</v>
      </c>
      <c r="O15" s="67">
        <f>M15+N15</f>
        <v>4130.6610000000001</v>
      </c>
      <c r="P15" s="122">
        <v>704.72</v>
      </c>
      <c r="Q15" s="123">
        <v>716.4</v>
      </c>
      <c r="R15" s="193">
        <f>P15+Q15</f>
        <v>1421.12</v>
      </c>
      <c r="S15" s="122">
        <v>186.01499999999999</v>
      </c>
      <c r="T15" s="123">
        <v>189.09899999999999</v>
      </c>
      <c r="U15" s="108">
        <f>S15+T15</f>
        <v>375.11399999999998</v>
      </c>
      <c r="V15" s="122">
        <v>897.495</v>
      </c>
      <c r="W15" s="123">
        <v>912.37199999999996</v>
      </c>
      <c r="X15" s="67">
        <f>V15+W15</f>
        <v>1809.867</v>
      </c>
      <c r="Y15" s="122">
        <v>459.62799999999999</v>
      </c>
      <c r="Z15" s="123">
        <v>467.24599999999998</v>
      </c>
      <c r="AA15" s="67">
        <f>Y15+Z15</f>
        <v>926.87400000000002</v>
      </c>
      <c r="AB15" s="122">
        <v>2228.0949999999998</v>
      </c>
      <c r="AC15" s="123">
        <v>2265.0250000000001</v>
      </c>
      <c r="AD15" s="67">
        <f>AB15+AC15</f>
        <v>4493.12</v>
      </c>
      <c r="AE15" s="122">
        <v>1512.8030000000001</v>
      </c>
      <c r="AF15" s="123">
        <v>1537.8779999999999</v>
      </c>
      <c r="AG15" s="67">
        <f>AE15+AF15</f>
        <v>3050.681</v>
      </c>
      <c r="AH15" s="122">
        <v>5270.8670000000002</v>
      </c>
      <c r="AI15" s="123">
        <v>5358.2290000000003</v>
      </c>
      <c r="AJ15" s="67">
        <f>AH15+AI15</f>
        <v>10629.096000000001</v>
      </c>
      <c r="AK15" s="122">
        <v>4042.33</v>
      </c>
      <c r="AL15" s="123">
        <v>4109.33</v>
      </c>
      <c r="AM15" s="67">
        <f>AK15+AL15</f>
        <v>8151.66</v>
      </c>
      <c r="AN15" s="122">
        <v>2512.1999999999998</v>
      </c>
      <c r="AO15" s="123">
        <v>2553.8409999999999</v>
      </c>
      <c r="AP15" s="108">
        <f>AN15+AO15</f>
        <v>5066.0409999999993</v>
      </c>
    </row>
    <row r="16" spans="1:42" s="55" customFormat="1" ht="15" x14ac:dyDescent="0.2">
      <c r="A16" s="82" t="s">
        <v>99</v>
      </c>
      <c r="B16" s="73" t="s">
        <v>100</v>
      </c>
      <c r="C16" s="66" t="s">
        <v>90</v>
      </c>
      <c r="D16" s="71"/>
      <c r="E16" s="72"/>
      <c r="F16" s="67"/>
      <c r="G16" s="71"/>
      <c r="H16" s="72"/>
      <c r="I16" s="67">
        <f>G16+H16</f>
        <v>0</v>
      </c>
      <c r="J16" s="71"/>
      <c r="K16" s="72"/>
      <c r="L16" s="67">
        <f>J16+K16</f>
        <v>0</v>
      </c>
      <c r="M16" s="71"/>
      <c r="N16" s="72"/>
      <c r="O16" s="67">
        <f>M16+N16</f>
        <v>0</v>
      </c>
      <c r="P16" s="71"/>
      <c r="Q16" s="72"/>
      <c r="R16" s="193">
        <f>P16+Q16</f>
        <v>0</v>
      </c>
      <c r="S16" s="71"/>
      <c r="T16" s="72"/>
      <c r="U16" s="108">
        <f>S16+T16</f>
        <v>0</v>
      </c>
      <c r="V16" s="71"/>
      <c r="W16" s="72"/>
      <c r="X16" s="67">
        <f>V16+W16</f>
        <v>0</v>
      </c>
      <c r="Y16" s="71"/>
      <c r="Z16" s="72"/>
      <c r="AA16" s="67">
        <f>Y16+Z16</f>
        <v>0</v>
      </c>
      <c r="AB16" s="71"/>
      <c r="AC16" s="72"/>
      <c r="AD16" s="67">
        <f>AB16+AC16</f>
        <v>0</v>
      </c>
      <c r="AE16" s="71"/>
      <c r="AF16" s="72"/>
      <c r="AG16" s="67">
        <f>AE16+AF16</f>
        <v>0</v>
      </c>
      <c r="AH16" s="71"/>
      <c r="AI16" s="72"/>
      <c r="AJ16" s="67">
        <f>AH16+AI16</f>
        <v>0</v>
      </c>
      <c r="AK16" s="71"/>
      <c r="AL16" s="72"/>
      <c r="AM16" s="67">
        <f>AK16+AL16</f>
        <v>0</v>
      </c>
      <c r="AN16" s="71"/>
      <c r="AO16" s="72"/>
      <c r="AP16" s="108">
        <f>AN16+AO16</f>
        <v>0</v>
      </c>
    </row>
    <row r="17" spans="1:42" s="80" customFormat="1" ht="19.5" customHeight="1" x14ac:dyDescent="0.2">
      <c r="A17" s="75" t="s">
        <v>10</v>
      </c>
      <c r="B17" s="76" t="s">
        <v>101</v>
      </c>
      <c r="C17" s="77" t="s">
        <v>90</v>
      </c>
      <c r="D17" s="78">
        <f t="shared" ref="D17:AP17" si="5">D13-D14</f>
        <v>14628.701999999999</v>
      </c>
      <c r="E17" s="79">
        <f t="shared" si="5"/>
        <v>13938.696</v>
      </c>
      <c r="F17" s="69">
        <f t="shared" si="5"/>
        <v>28567.397999999997</v>
      </c>
      <c r="G17" s="78">
        <f t="shared" si="5"/>
        <v>128388.70000000001</v>
      </c>
      <c r="H17" s="79">
        <f t="shared" si="5"/>
        <v>123120.65399999999</v>
      </c>
      <c r="I17" s="69">
        <f t="shared" si="5"/>
        <v>251509.35399999996</v>
      </c>
      <c r="J17" s="78">
        <f t="shared" si="5"/>
        <v>8926.65</v>
      </c>
      <c r="K17" s="79">
        <f t="shared" si="5"/>
        <v>8955.148000000001</v>
      </c>
      <c r="L17" s="69">
        <f t="shared" si="5"/>
        <v>17881.797999999999</v>
      </c>
      <c r="M17" s="78">
        <f t="shared" si="5"/>
        <v>63129.340999999993</v>
      </c>
      <c r="N17" s="79">
        <f t="shared" si="5"/>
        <v>63044.768000000004</v>
      </c>
      <c r="O17" s="69">
        <f t="shared" si="5"/>
        <v>126174.109</v>
      </c>
      <c r="P17" s="78">
        <f t="shared" si="5"/>
        <v>10279.124</v>
      </c>
      <c r="Q17" s="79">
        <f t="shared" si="5"/>
        <v>11272.916999999999</v>
      </c>
      <c r="R17" s="192">
        <f t="shared" si="5"/>
        <v>21552.041000000001</v>
      </c>
      <c r="S17" s="78">
        <f t="shared" si="5"/>
        <v>6962.3009999999995</v>
      </c>
      <c r="T17" s="79">
        <f t="shared" si="5"/>
        <v>7818.7129999999997</v>
      </c>
      <c r="U17" s="109">
        <f t="shared" si="5"/>
        <v>14781.014000000001</v>
      </c>
      <c r="V17" s="78">
        <f t="shared" si="5"/>
        <v>7210.9499999999989</v>
      </c>
      <c r="W17" s="79">
        <f t="shared" si="5"/>
        <v>7117.2569999999987</v>
      </c>
      <c r="X17" s="69">
        <f t="shared" si="5"/>
        <v>14328.207</v>
      </c>
      <c r="Y17" s="78">
        <f t="shared" si="5"/>
        <v>2159.7040000000002</v>
      </c>
      <c r="Z17" s="79">
        <f t="shared" si="5"/>
        <v>2177.3579999999997</v>
      </c>
      <c r="AA17" s="69">
        <f t="shared" si="5"/>
        <v>4337.0620000000008</v>
      </c>
      <c r="AB17" s="78">
        <f t="shared" si="5"/>
        <v>21188.069</v>
      </c>
      <c r="AC17" s="79">
        <f t="shared" si="5"/>
        <v>20487.326000000001</v>
      </c>
      <c r="AD17" s="69">
        <f t="shared" si="5"/>
        <v>41675.394999999997</v>
      </c>
      <c r="AE17" s="78">
        <f t="shared" si="5"/>
        <v>14501.004000000001</v>
      </c>
      <c r="AF17" s="79">
        <f t="shared" si="5"/>
        <v>15514.442999999999</v>
      </c>
      <c r="AG17" s="69">
        <f t="shared" si="5"/>
        <v>30015.446999999996</v>
      </c>
      <c r="AH17" s="78">
        <f t="shared" si="5"/>
        <v>16096.267999999998</v>
      </c>
      <c r="AI17" s="79">
        <f t="shared" si="5"/>
        <v>15631.758000000002</v>
      </c>
      <c r="AJ17" s="69">
        <f t="shared" si="5"/>
        <v>31728.026000000002</v>
      </c>
      <c r="AK17" s="78">
        <f t="shared" si="5"/>
        <v>74189.031999999992</v>
      </c>
      <c r="AL17" s="79">
        <f t="shared" si="5"/>
        <v>75392.668999999994</v>
      </c>
      <c r="AM17" s="69">
        <f t="shared" si="5"/>
        <v>149581.701</v>
      </c>
      <c r="AN17" s="78">
        <f t="shared" si="5"/>
        <v>5842.6040000000003</v>
      </c>
      <c r="AO17" s="79">
        <f t="shared" si="5"/>
        <v>9940.6270000000004</v>
      </c>
      <c r="AP17" s="109">
        <f t="shared" si="5"/>
        <v>15783.231000000002</v>
      </c>
    </row>
    <row r="18" spans="1:42" s="55" customFormat="1" ht="15" x14ac:dyDescent="0.2">
      <c r="A18" s="81" t="s">
        <v>102</v>
      </c>
      <c r="B18" s="70" t="s">
        <v>103</v>
      </c>
      <c r="C18" s="66" t="s">
        <v>90</v>
      </c>
      <c r="D18" s="71">
        <f t="shared" ref="D18:AP18" si="6">D19+D20+D21</f>
        <v>1117.818</v>
      </c>
      <c r="E18" s="72">
        <f t="shared" si="6"/>
        <v>1136.345</v>
      </c>
      <c r="F18" s="64">
        <f t="shared" si="6"/>
        <v>2254.163</v>
      </c>
      <c r="G18" s="71">
        <f t="shared" si="6"/>
        <v>49494.194000000003</v>
      </c>
      <c r="H18" s="72">
        <f t="shared" si="6"/>
        <v>50314.538</v>
      </c>
      <c r="I18" s="64">
        <f t="shared" si="6"/>
        <v>99808.732000000004</v>
      </c>
      <c r="J18" s="71">
        <f t="shared" si="6"/>
        <v>3087.0189999999998</v>
      </c>
      <c r="K18" s="72">
        <f t="shared" si="6"/>
        <v>3138.1859999999997</v>
      </c>
      <c r="L18" s="64">
        <f t="shared" si="6"/>
        <v>6225.204999999999</v>
      </c>
      <c r="M18" s="71">
        <f t="shared" si="6"/>
        <v>31891.75</v>
      </c>
      <c r="N18" s="72">
        <f t="shared" si="6"/>
        <v>32420.342000000001</v>
      </c>
      <c r="O18" s="64">
        <f t="shared" si="6"/>
        <v>64312.092000000004</v>
      </c>
      <c r="P18" s="71">
        <f t="shared" si="6"/>
        <v>1648.0240000000001</v>
      </c>
      <c r="Q18" s="72">
        <f t="shared" si="6"/>
        <v>1675.338</v>
      </c>
      <c r="R18" s="194">
        <f t="shared" si="6"/>
        <v>3323.3620000000001</v>
      </c>
      <c r="S18" s="71">
        <f t="shared" si="6"/>
        <v>1679.8910000000001</v>
      </c>
      <c r="T18" s="72">
        <f t="shared" si="6"/>
        <v>1707.7330000000002</v>
      </c>
      <c r="U18" s="107">
        <f t="shared" si="6"/>
        <v>3387.6239999999998</v>
      </c>
      <c r="V18" s="71">
        <f t="shared" si="6"/>
        <v>718.46600000000001</v>
      </c>
      <c r="W18" s="72">
        <f t="shared" si="6"/>
        <v>730.37399999999991</v>
      </c>
      <c r="X18" s="64">
        <f t="shared" si="6"/>
        <v>1448.84</v>
      </c>
      <c r="Y18" s="71">
        <f t="shared" si="6"/>
        <v>531.15800000000002</v>
      </c>
      <c r="Z18" s="72">
        <f t="shared" si="6"/>
        <v>539.96199999999999</v>
      </c>
      <c r="AA18" s="64">
        <f t="shared" si="6"/>
        <v>1071.1199999999999</v>
      </c>
      <c r="AB18" s="71">
        <f t="shared" si="6"/>
        <v>2452.5509999999999</v>
      </c>
      <c r="AC18" s="72">
        <f t="shared" si="6"/>
        <v>2493.2000000000003</v>
      </c>
      <c r="AD18" s="64">
        <f t="shared" si="6"/>
        <v>4945.7510000000002</v>
      </c>
      <c r="AE18" s="71">
        <f t="shared" si="6"/>
        <v>3152.0219999999999</v>
      </c>
      <c r="AF18" s="72">
        <f t="shared" si="6"/>
        <v>3204.2649999999999</v>
      </c>
      <c r="AG18" s="64">
        <f t="shared" si="6"/>
        <v>6356.2869999999994</v>
      </c>
      <c r="AH18" s="71">
        <f t="shared" si="6"/>
        <v>778.34958904109578</v>
      </c>
      <c r="AI18" s="72">
        <f t="shared" si="6"/>
        <v>791.25041095890413</v>
      </c>
      <c r="AJ18" s="64">
        <f t="shared" si="6"/>
        <v>1569.6</v>
      </c>
      <c r="AK18" s="71">
        <f t="shared" si="6"/>
        <v>31948.345999999998</v>
      </c>
      <c r="AL18" s="72">
        <f t="shared" si="6"/>
        <v>32477.877</v>
      </c>
      <c r="AM18" s="64">
        <f t="shared" si="6"/>
        <v>64426.222999999998</v>
      </c>
      <c r="AN18" s="71">
        <f t="shared" si="6"/>
        <v>4696.5169999999998</v>
      </c>
      <c r="AO18" s="72">
        <f t="shared" si="6"/>
        <v>4774.3590000000004</v>
      </c>
      <c r="AP18" s="107">
        <f t="shared" si="6"/>
        <v>9470.8760000000002</v>
      </c>
    </row>
    <row r="19" spans="1:42" s="55" customFormat="1" ht="15" x14ac:dyDescent="0.2">
      <c r="A19" s="82" t="s">
        <v>104</v>
      </c>
      <c r="B19" s="83" t="s">
        <v>105</v>
      </c>
      <c r="C19" s="74" t="s">
        <v>90</v>
      </c>
      <c r="D19" s="122">
        <v>29.068999999999999</v>
      </c>
      <c r="E19" s="123">
        <v>29.55</v>
      </c>
      <c r="F19" s="67">
        <f>D19+E19</f>
        <v>58.619</v>
      </c>
      <c r="G19" s="122">
        <v>28906.381000000001</v>
      </c>
      <c r="H19" s="123">
        <v>29385.491999999998</v>
      </c>
      <c r="I19" s="67">
        <f>G19+H19</f>
        <v>58291.873</v>
      </c>
      <c r="J19" s="122">
        <v>2787.5659999999998</v>
      </c>
      <c r="K19" s="123">
        <v>2833.7689999999998</v>
      </c>
      <c r="L19" s="67">
        <f>J19+K19</f>
        <v>5621.3349999999991</v>
      </c>
      <c r="M19" s="122">
        <v>25336.034</v>
      </c>
      <c r="N19" s="123">
        <v>25755.968000000001</v>
      </c>
      <c r="O19" s="67">
        <f>M19+N19</f>
        <v>51092.002</v>
      </c>
      <c r="P19" s="122">
        <v>818.69799999999998</v>
      </c>
      <c r="Q19" s="123">
        <v>832.26800000000003</v>
      </c>
      <c r="R19" s="193">
        <f>P19+Q19</f>
        <v>1650.9659999999999</v>
      </c>
      <c r="S19" s="122">
        <v>1332.125</v>
      </c>
      <c r="T19" s="123">
        <v>1354.204</v>
      </c>
      <c r="U19" s="108">
        <f>S19+T19</f>
        <v>2686.3289999999997</v>
      </c>
      <c r="V19" s="122"/>
      <c r="W19" s="123"/>
      <c r="X19" s="67">
        <f>V19+W19</f>
        <v>0</v>
      </c>
      <c r="Y19" s="122"/>
      <c r="Z19" s="123"/>
      <c r="AA19" s="67">
        <f>Y19+Z19</f>
        <v>0</v>
      </c>
      <c r="AB19" s="122"/>
      <c r="AC19" s="123"/>
      <c r="AD19" s="67">
        <f>AB19+AC19</f>
        <v>0</v>
      </c>
      <c r="AE19" s="122">
        <v>2275.7370000000001</v>
      </c>
      <c r="AF19" s="123">
        <v>2313.4569999999999</v>
      </c>
      <c r="AG19" s="67">
        <f>AE19+AF19</f>
        <v>4589.1939999999995</v>
      </c>
      <c r="AH19" s="122"/>
      <c r="AI19" s="123"/>
      <c r="AJ19" s="67">
        <f>AH19+AI19</f>
        <v>0</v>
      </c>
      <c r="AK19" s="122"/>
      <c r="AL19" s="123"/>
      <c r="AM19" s="67">
        <f>AK19+AL19</f>
        <v>0</v>
      </c>
      <c r="AN19" s="122">
        <v>3086.8380000000002</v>
      </c>
      <c r="AO19" s="123">
        <v>3138.0010000000002</v>
      </c>
      <c r="AP19" s="108">
        <f>AN19+AO19</f>
        <v>6224.8389999999999</v>
      </c>
    </row>
    <row r="20" spans="1:42" s="55" customFormat="1" ht="15" x14ac:dyDescent="0.2">
      <c r="A20" s="84" t="s">
        <v>106</v>
      </c>
      <c r="B20" s="73" t="s">
        <v>107</v>
      </c>
      <c r="C20" s="66" t="s">
        <v>90</v>
      </c>
      <c r="D20" s="71">
        <v>882.99300000000005</v>
      </c>
      <c r="E20" s="72">
        <v>897.62800000000004</v>
      </c>
      <c r="F20" s="64">
        <f>D20+E20</f>
        <v>1780.6210000000001</v>
      </c>
      <c r="G20" s="217">
        <v>18364.884999999998</v>
      </c>
      <c r="H20" s="72">
        <v>18669.274000000001</v>
      </c>
      <c r="I20" s="64">
        <f>G20+H20</f>
        <v>37034.159</v>
      </c>
      <c r="J20" s="71">
        <v>294.06299999999999</v>
      </c>
      <c r="K20" s="72">
        <v>298.93700000000001</v>
      </c>
      <c r="L20" s="64">
        <f>J20+K20</f>
        <v>593</v>
      </c>
      <c r="M20" s="71">
        <v>5228.5360000000001</v>
      </c>
      <c r="N20" s="72">
        <v>5315.1970000000001</v>
      </c>
      <c r="O20" s="64">
        <f>M20+N20</f>
        <v>10543.733</v>
      </c>
      <c r="P20" s="71">
        <v>762.18399999999997</v>
      </c>
      <c r="Q20" s="72">
        <v>774.81600000000003</v>
      </c>
      <c r="R20" s="194">
        <f>P20+Q20</f>
        <v>1537</v>
      </c>
      <c r="S20" s="71">
        <v>259.351</v>
      </c>
      <c r="T20" s="72">
        <v>263.649</v>
      </c>
      <c r="U20" s="107">
        <f>S20+T20</f>
        <v>523</v>
      </c>
      <c r="V20" s="71">
        <v>643.66600000000005</v>
      </c>
      <c r="W20" s="72">
        <v>654.33399999999995</v>
      </c>
      <c r="X20" s="64">
        <f>V20+W20</f>
        <v>1298</v>
      </c>
      <c r="Y20" s="71">
        <v>188.43799999999999</v>
      </c>
      <c r="Z20" s="72">
        <v>191.56200000000001</v>
      </c>
      <c r="AA20" s="64">
        <f>Y20+Z20</f>
        <v>380</v>
      </c>
      <c r="AB20" s="71">
        <v>2020.258</v>
      </c>
      <c r="AC20" s="72">
        <v>2053.7420000000002</v>
      </c>
      <c r="AD20" s="64">
        <f>AB20+AC20</f>
        <v>4074</v>
      </c>
      <c r="AE20" s="71">
        <v>584.15899999999999</v>
      </c>
      <c r="AF20" s="72">
        <v>593.84100000000001</v>
      </c>
      <c r="AG20" s="64">
        <f>AE20+AF20</f>
        <v>1178</v>
      </c>
      <c r="AH20" s="71">
        <v>740.86027397260273</v>
      </c>
      <c r="AI20" s="72">
        <v>753.13972602739727</v>
      </c>
      <c r="AJ20" s="64">
        <f>AH20+AI20</f>
        <v>1494</v>
      </c>
      <c r="AK20" s="71">
        <v>1030.46</v>
      </c>
      <c r="AL20" s="72">
        <v>1047.54</v>
      </c>
      <c r="AM20" s="64">
        <f>AK20+AL20</f>
        <v>2078</v>
      </c>
      <c r="AN20" s="71">
        <v>583.41499999999996</v>
      </c>
      <c r="AO20" s="72">
        <v>593.08500000000004</v>
      </c>
      <c r="AP20" s="107">
        <f>AN20+AO20</f>
        <v>1176.5</v>
      </c>
    </row>
    <row r="21" spans="1:42" s="55" customFormat="1" ht="15" x14ac:dyDescent="0.2">
      <c r="A21" s="84" t="s">
        <v>108</v>
      </c>
      <c r="B21" s="73" t="s">
        <v>109</v>
      </c>
      <c r="C21" s="66" t="s">
        <v>90</v>
      </c>
      <c r="D21" s="71">
        <v>205.756</v>
      </c>
      <c r="E21" s="72">
        <v>209.167</v>
      </c>
      <c r="F21" s="67">
        <f>D21+E21</f>
        <v>414.923</v>
      </c>
      <c r="G21" s="71">
        <v>2222.9279999999999</v>
      </c>
      <c r="H21" s="72">
        <v>2259.7719999999999</v>
      </c>
      <c r="I21" s="67">
        <f>G21+H21</f>
        <v>4482.7</v>
      </c>
      <c r="J21" s="71">
        <v>5.39</v>
      </c>
      <c r="K21" s="72">
        <v>5.48</v>
      </c>
      <c r="L21" s="67">
        <f>J21+K21</f>
        <v>10.870000000000001</v>
      </c>
      <c r="M21" s="71">
        <v>1327.18</v>
      </c>
      <c r="N21" s="72">
        <v>1349.1769999999999</v>
      </c>
      <c r="O21" s="67">
        <f>M21+N21</f>
        <v>2676.357</v>
      </c>
      <c r="P21" s="71">
        <v>67.141999999999996</v>
      </c>
      <c r="Q21" s="72">
        <v>68.254000000000005</v>
      </c>
      <c r="R21" s="193">
        <f>P21+Q21</f>
        <v>135.39600000000002</v>
      </c>
      <c r="S21" s="71">
        <v>88.415000000000006</v>
      </c>
      <c r="T21" s="72">
        <v>89.88</v>
      </c>
      <c r="U21" s="108">
        <f>S21+T21</f>
        <v>178.29500000000002</v>
      </c>
      <c r="V21" s="71">
        <v>74.8</v>
      </c>
      <c r="W21" s="72">
        <v>76.040000000000006</v>
      </c>
      <c r="X21" s="67">
        <f>V21+W21</f>
        <v>150.84</v>
      </c>
      <c r="Y21" s="71">
        <v>342.72</v>
      </c>
      <c r="Z21" s="72">
        <v>348.4</v>
      </c>
      <c r="AA21" s="67">
        <f>Y21+Z21</f>
        <v>691.12</v>
      </c>
      <c r="AB21" s="71">
        <v>432.29300000000001</v>
      </c>
      <c r="AC21" s="72">
        <v>439.45800000000003</v>
      </c>
      <c r="AD21" s="67">
        <f>AB21+AC21</f>
        <v>871.75099999999998</v>
      </c>
      <c r="AE21" s="71">
        <v>292.12599999999998</v>
      </c>
      <c r="AF21" s="72">
        <v>296.96699999999998</v>
      </c>
      <c r="AG21" s="67">
        <f>AE21+AF21</f>
        <v>589.09299999999996</v>
      </c>
      <c r="AH21" s="71">
        <v>37.489315068493106</v>
      </c>
      <c r="AI21" s="72">
        <v>38.110684931506803</v>
      </c>
      <c r="AJ21" s="67">
        <f>AH21+AI21</f>
        <v>75.599999999999909</v>
      </c>
      <c r="AK21" s="71">
        <v>30917.885999999999</v>
      </c>
      <c r="AL21" s="72">
        <v>31430.337</v>
      </c>
      <c r="AM21" s="67">
        <f>AK21+AL21</f>
        <v>62348.222999999998</v>
      </c>
      <c r="AN21" s="71">
        <v>1026.2639999999999</v>
      </c>
      <c r="AO21" s="72">
        <v>1043.2729999999999</v>
      </c>
      <c r="AP21" s="108">
        <f>AN21+AO21</f>
        <v>2069.5369999999998</v>
      </c>
    </row>
    <row r="22" spans="1:42" s="55" customFormat="1" ht="14.25" x14ac:dyDescent="0.2">
      <c r="A22" s="85" t="s">
        <v>41</v>
      </c>
      <c r="B22" s="68" t="s">
        <v>110</v>
      </c>
      <c r="C22" s="66" t="s">
        <v>90</v>
      </c>
      <c r="D22" s="114">
        <f t="shared" ref="D22:AP22" si="7">D17-D18</f>
        <v>13510.884</v>
      </c>
      <c r="E22" s="116">
        <f t="shared" si="7"/>
        <v>12802.351000000001</v>
      </c>
      <c r="F22" s="117">
        <f t="shared" si="7"/>
        <v>26313.234999999997</v>
      </c>
      <c r="G22" s="114">
        <f t="shared" si="7"/>
        <v>78894.506000000008</v>
      </c>
      <c r="H22" s="116">
        <f t="shared" si="7"/>
        <v>72806.115999999995</v>
      </c>
      <c r="I22" s="117">
        <f t="shared" si="7"/>
        <v>151700.62199999997</v>
      </c>
      <c r="J22" s="114">
        <f t="shared" si="7"/>
        <v>5839.6309999999994</v>
      </c>
      <c r="K22" s="116">
        <f t="shared" si="7"/>
        <v>5816.9620000000014</v>
      </c>
      <c r="L22" s="117">
        <f t="shared" si="7"/>
        <v>11656.593000000001</v>
      </c>
      <c r="M22" s="114">
        <f t="shared" si="7"/>
        <v>31237.590999999993</v>
      </c>
      <c r="N22" s="116">
        <f t="shared" si="7"/>
        <v>30624.426000000003</v>
      </c>
      <c r="O22" s="117">
        <f t="shared" si="7"/>
        <v>61862.016999999993</v>
      </c>
      <c r="P22" s="205">
        <f t="shared" si="7"/>
        <v>8631.1</v>
      </c>
      <c r="Q22" s="206">
        <f t="shared" si="7"/>
        <v>9597.5789999999997</v>
      </c>
      <c r="R22" s="195">
        <f t="shared" si="7"/>
        <v>18228.679</v>
      </c>
      <c r="S22" s="205">
        <f t="shared" si="7"/>
        <v>5282.41</v>
      </c>
      <c r="T22" s="206">
        <f t="shared" si="7"/>
        <v>6110.98</v>
      </c>
      <c r="U22" s="118">
        <f t="shared" si="7"/>
        <v>11393.390000000001</v>
      </c>
      <c r="V22" s="114">
        <f t="shared" si="7"/>
        <v>6492.4839999999986</v>
      </c>
      <c r="W22" s="116">
        <f t="shared" si="7"/>
        <v>6386.8829999999989</v>
      </c>
      <c r="X22" s="117">
        <f t="shared" si="7"/>
        <v>12879.367</v>
      </c>
      <c r="Y22" s="114">
        <f t="shared" si="7"/>
        <v>1628.5460000000003</v>
      </c>
      <c r="Z22" s="116">
        <f t="shared" si="7"/>
        <v>1637.3959999999997</v>
      </c>
      <c r="AA22" s="117">
        <f t="shared" si="7"/>
        <v>3265.9420000000009</v>
      </c>
      <c r="AB22" s="114">
        <f t="shared" si="7"/>
        <v>18735.518</v>
      </c>
      <c r="AC22" s="116">
        <f t="shared" si="7"/>
        <v>17994.126</v>
      </c>
      <c r="AD22" s="117">
        <f t="shared" si="7"/>
        <v>36729.644</v>
      </c>
      <c r="AE22" s="114">
        <f t="shared" si="7"/>
        <v>11348.982</v>
      </c>
      <c r="AF22" s="116">
        <f t="shared" si="7"/>
        <v>12310.178</v>
      </c>
      <c r="AG22" s="117">
        <f t="shared" si="7"/>
        <v>23659.159999999996</v>
      </c>
      <c r="AH22" s="114">
        <f t="shared" si="7"/>
        <v>15317.918410958902</v>
      </c>
      <c r="AI22" s="116">
        <f t="shared" si="7"/>
        <v>14840.507589041097</v>
      </c>
      <c r="AJ22" s="117">
        <f t="shared" si="7"/>
        <v>30158.426000000003</v>
      </c>
      <c r="AK22" s="114">
        <f t="shared" si="7"/>
        <v>42240.685999999994</v>
      </c>
      <c r="AL22" s="116">
        <f t="shared" si="7"/>
        <v>42914.791999999994</v>
      </c>
      <c r="AM22" s="117">
        <f t="shared" si="7"/>
        <v>85155.478000000003</v>
      </c>
      <c r="AN22" s="114">
        <f t="shared" si="7"/>
        <v>1146.0870000000004</v>
      </c>
      <c r="AO22" s="116">
        <f t="shared" si="7"/>
        <v>5166.268</v>
      </c>
      <c r="AP22" s="118">
        <f t="shared" si="7"/>
        <v>6312.3550000000014</v>
      </c>
    </row>
    <row r="23" spans="1:42" s="55" customFormat="1" ht="15" x14ac:dyDescent="0.2">
      <c r="A23" s="85"/>
      <c r="B23" s="86" t="s">
        <v>111</v>
      </c>
      <c r="C23" s="66"/>
      <c r="D23" s="71">
        <f t="shared" ref="D23:AP23" si="8">D24+D31+D34</f>
        <v>13510.884000000002</v>
      </c>
      <c r="E23" s="72">
        <f t="shared" si="8"/>
        <v>12802.351000000001</v>
      </c>
      <c r="F23" s="67">
        <f t="shared" si="8"/>
        <v>26313.235000000001</v>
      </c>
      <c r="G23" s="71">
        <f t="shared" si="8"/>
        <v>78894.505999999994</v>
      </c>
      <c r="H23" s="72">
        <f t="shared" si="8"/>
        <v>72806.116000000009</v>
      </c>
      <c r="I23" s="67">
        <f t="shared" si="8"/>
        <v>151700.622</v>
      </c>
      <c r="J23" s="71">
        <f t="shared" si="8"/>
        <v>5839.6310000000003</v>
      </c>
      <c r="K23" s="72">
        <f t="shared" si="8"/>
        <v>5816.9619999999995</v>
      </c>
      <c r="L23" s="67">
        <f t="shared" si="8"/>
        <v>11656.593000000001</v>
      </c>
      <c r="M23" s="71">
        <f t="shared" si="8"/>
        <v>31237.591</v>
      </c>
      <c r="N23" s="72">
        <f t="shared" si="8"/>
        <v>30624.425999999999</v>
      </c>
      <c r="O23" s="67">
        <f t="shared" si="8"/>
        <v>61862.017</v>
      </c>
      <c r="P23" s="183">
        <f t="shared" si="8"/>
        <v>8631.1</v>
      </c>
      <c r="Q23" s="184">
        <f t="shared" si="8"/>
        <v>9597.5789999999997</v>
      </c>
      <c r="R23" s="193">
        <f t="shared" si="8"/>
        <v>18228.679</v>
      </c>
      <c r="S23" s="183">
        <f t="shared" si="8"/>
        <v>5282.41</v>
      </c>
      <c r="T23" s="184">
        <f t="shared" si="8"/>
        <v>6110.98</v>
      </c>
      <c r="U23" s="108">
        <f t="shared" si="8"/>
        <v>11393.39</v>
      </c>
      <c r="V23" s="71">
        <f t="shared" si="8"/>
        <v>6492.4839999999995</v>
      </c>
      <c r="W23" s="72">
        <f t="shared" si="8"/>
        <v>6386.8829999999989</v>
      </c>
      <c r="X23" s="67">
        <f t="shared" si="8"/>
        <v>12879.366999999998</v>
      </c>
      <c r="Y23" s="71">
        <f t="shared" si="8"/>
        <v>1628.546</v>
      </c>
      <c r="Z23" s="72">
        <f t="shared" si="8"/>
        <v>1637.396</v>
      </c>
      <c r="AA23" s="67">
        <f t="shared" si="8"/>
        <v>3265.942</v>
      </c>
      <c r="AB23" s="71">
        <f t="shared" si="8"/>
        <v>18735.518</v>
      </c>
      <c r="AC23" s="72">
        <f t="shared" si="8"/>
        <v>17994.126</v>
      </c>
      <c r="AD23" s="67">
        <f t="shared" si="8"/>
        <v>36729.644</v>
      </c>
      <c r="AE23" s="71">
        <f t="shared" si="8"/>
        <v>11348.982</v>
      </c>
      <c r="AF23" s="72">
        <f t="shared" si="8"/>
        <v>12310.178</v>
      </c>
      <c r="AG23" s="67">
        <f t="shared" si="8"/>
        <v>23659.160000000003</v>
      </c>
      <c r="AH23" s="71">
        <f t="shared" si="8"/>
        <v>15317.918000000001</v>
      </c>
      <c r="AI23" s="72">
        <f t="shared" si="8"/>
        <v>14840.508</v>
      </c>
      <c r="AJ23" s="67">
        <f t="shared" si="8"/>
        <v>30158.425999999999</v>
      </c>
      <c r="AK23" s="71">
        <f t="shared" si="8"/>
        <v>42240.686000000002</v>
      </c>
      <c r="AL23" s="72">
        <f t="shared" si="8"/>
        <v>42914.791999999994</v>
      </c>
      <c r="AM23" s="67">
        <f t="shared" si="8"/>
        <v>85155.477999999988</v>
      </c>
      <c r="AN23" s="71">
        <f t="shared" si="8"/>
        <v>1146.087</v>
      </c>
      <c r="AO23" s="72">
        <f t="shared" si="8"/>
        <v>5166.268</v>
      </c>
      <c r="AP23" s="108">
        <f t="shared" si="8"/>
        <v>6312.3550000000005</v>
      </c>
    </row>
    <row r="24" spans="1:42" s="80" customFormat="1" ht="14.25" x14ac:dyDescent="0.2">
      <c r="A24" s="178" t="s">
        <v>112</v>
      </c>
      <c r="B24" s="87" t="s">
        <v>113</v>
      </c>
      <c r="C24" s="88" t="s">
        <v>90</v>
      </c>
      <c r="D24" s="89">
        <f t="shared" ref="D24:AP24" si="9">D25+D28</f>
        <v>12368.311000000002</v>
      </c>
      <c r="E24" s="90">
        <f t="shared" si="9"/>
        <v>11734.723</v>
      </c>
      <c r="F24" s="69">
        <f t="shared" si="9"/>
        <v>24103.034</v>
      </c>
      <c r="G24" s="89">
        <f t="shared" si="9"/>
        <v>55425.426999999996</v>
      </c>
      <c r="H24" s="90">
        <f t="shared" si="9"/>
        <v>49669.603000000003</v>
      </c>
      <c r="I24" s="69">
        <f t="shared" si="9"/>
        <v>105095.03</v>
      </c>
      <c r="J24" s="89">
        <f t="shared" si="9"/>
        <v>5375.22</v>
      </c>
      <c r="K24" s="90">
        <f t="shared" si="9"/>
        <v>5119.2879999999996</v>
      </c>
      <c r="L24" s="69">
        <f t="shared" si="9"/>
        <v>10494.508</v>
      </c>
      <c r="M24" s="89">
        <f t="shared" si="9"/>
        <v>24685.616000000002</v>
      </c>
      <c r="N24" s="90">
        <f t="shared" si="9"/>
        <v>25549.991999999998</v>
      </c>
      <c r="O24" s="69">
        <f t="shared" si="9"/>
        <v>50235.608</v>
      </c>
      <c r="P24" s="89">
        <f t="shared" si="9"/>
        <v>8046.2260000000006</v>
      </c>
      <c r="Q24" s="90">
        <f t="shared" si="9"/>
        <v>8615.0830000000005</v>
      </c>
      <c r="R24" s="192">
        <f t="shared" si="9"/>
        <v>16661.309000000001</v>
      </c>
      <c r="S24" s="89">
        <f t="shared" si="9"/>
        <v>4887.0010000000002</v>
      </c>
      <c r="T24" s="90">
        <f t="shared" si="9"/>
        <v>5608.7089999999998</v>
      </c>
      <c r="U24" s="109">
        <f t="shared" si="9"/>
        <v>10495.71</v>
      </c>
      <c r="V24" s="89">
        <f t="shared" si="9"/>
        <v>5640.4859999999999</v>
      </c>
      <c r="W24" s="90">
        <f t="shared" si="9"/>
        <v>5589.2159999999994</v>
      </c>
      <c r="X24" s="69">
        <f t="shared" si="9"/>
        <v>11229.701999999999</v>
      </c>
      <c r="Y24" s="89">
        <f t="shared" si="9"/>
        <v>1430.6410000000001</v>
      </c>
      <c r="Z24" s="90">
        <f t="shared" si="9"/>
        <v>1481.5239999999999</v>
      </c>
      <c r="AA24" s="69">
        <f t="shared" si="9"/>
        <v>2912.165</v>
      </c>
      <c r="AB24" s="89">
        <f t="shared" si="9"/>
        <v>15931.508000000002</v>
      </c>
      <c r="AC24" s="90">
        <f t="shared" si="9"/>
        <v>15749.380000000001</v>
      </c>
      <c r="AD24" s="69">
        <f t="shared" si="9"/>
        <v>31680.888000000003</v>
      </c>
      <c r="AE24" s="89">
        <f t="shared" si="9"/>
        <v>10597.044</v>
      </c>
      <c r="AF24" s="90">
        <f t="shared" si="9"/>
        <v>9767.8260000000009</v>
      </c>
      <c r="AG24" s="69">
        <f t="shared" si="9"/>
        <v>20364.870000000003</v>
      </c>
      <c r="AH24" s="89">
        <f t="shared" si="9"/>
        <v>14802.574000000001</v>
      </c>
      <c r="AI24" s="90">
        <f t="shared" si="9"/>
        <v>14356.786</v>
      </c>
      <c r="AJ24" s="69">
        <f t="shared" si="9"/>
        <v>29159.360000000001</v>
      </c>
      <c r="AK24" s="89">
        <f t="shared" si="9"/>
        <v>36057.366000000002</v>
      </c>
      <c r="AL24" s="90">
        <f t="shared" si="9"/>
        <v>36598.601999999999</v>
      </c>
      <c r="AM24" s="69">
        <f t="shared" si="9"/>
        <v>72655.967999999993</v>
      </c>
      <c r="AN24" s="89">
        <f t="shared" si="9"/>
        <v>1106.579</v>
      </c>
      <c r="AO24" s="90">
        <f t="shared" si="9"/>
        <v>5122.3969999999999</v>
      </c>
      <c r="AP24" s="109">
        <f t="shared" si="9"/>
        <v>6228.9759999999997</v>
      </c>
    </row>
    <row r="25" spans="1:42" s="55" customFormat="1" ht="15" x14ac:dyDescent="0.2">
      <c r="A25" s="84"/>
      <c r="B25" s="73" t="s">
        <v>114</v>
      </c>
      <c r="C25" s="66" t="s">
        <v>90</v>
      </c>
      <c r="D25" s="71">
        <f t="shared" ref="D25:E25" si="10">D26+D27</f>
        <v>0</v>
      </c>
      <c r="E25" s="72">
        <f t="shared" si="10"/>
        <v>0</v>
      </c>
      <c r="F25" s="108">
        <f t="shared" ref="F25:F30" si="11">D25+E25</f>
        <v>0</v>
      </c>
      <c r="G25" s="71">
        <f t="shared" ref="G25:H25" si="12">G26+G27</f>
        <v>55425.426999999996</v>
      </c>
      <c r="H25" s="72">
        <f t="shared" si="12"/>
        <v>49669.603000000003</v>
      </c>
      <c r="I25" s="108">
        <f t="shared" ref="I25:I30" si="13">G25+H25</f>
        <v>105095.03</v>
      </c>
      <c r="J25" s="71">
        <f t="shared" ref="J25:K25" si="14">J26+J27</f>
        <v>0</v>
      </c>
      <c r="K25" s="72">
        <f t="shared" si="14"/>
        <v>0</v>
      </c>
      <c r="L25" s="108">
        <f t="shared" ref="L25:L30" si="15">J25+K25</f>
        <v>0</v>
      </c>
      <c r="M25" s="71">
        <f t="shared" ref="M25:N25" si="16">M26+M27</f>
        <v>24685.616000000002</v>
      </c>
      <c r="N25" s="72">
        <f t="shared" si="16"/>
        <v>25549.991999999998</v>
      </c>
      <c r="O25" s="108">
        <f t="shared" ref="O25:O30" si="17">M25+N25</f>
        <v>50235.608</v>
      </c>
      <c r="P25" s="71">
        <f t="shared" ref="P25:Q25" si="18">P26+P27</f>
        <v>0</v>
      </c>
      <c r="Q25" s="72">
        <f t="shared" si="18"/>
        <v>0</v>
      </c>
      <c r="R25" s="179">
        <f t="shared" ref="R25:R30" si="19">P25+Q25</f>
        <v>0</v>
      </c>
      <c r="S25" s="71">
        <f t="shared" ref="S25:T25" si="20">S26+S27</f>
        <v>0</v>
      </c>
      <c r="T25" s="72">
        <f t="shared" si="20"/>
        <v>0</v>
      </c>
      <c r="U25" s="108">
        <f t="shared" ref="U25:U30" si="21">S25+T25</f>
        <v>0</v>
      </c>
      <c r="V25" s="71">
        <f t="shared" ref="V25:W25" si="22">V26+V27</f>
        <v>0</v>
      </c>
      <c r="W25" s="72">
        <f t="shared" si="22"/>
        <v>0</v>
      </c>
      <c r="X25" s="108">
        <f t="shared" ref="X25:X30" si="23">V25+W25</f>
        <v>0</v>
      </c>
      <c r="Y25" s="71">
        <f t="shared" ref="Y25:Z25" si="24">Y26+Y27</f>
        <v>0</v>
      </c>
      <c r="Z25" s="72">
        <f t="shared" si="24"/>
        <v>0</v>
      </c>
      <c r="AA25" s="108">
        <f t="shared" ref="AA25:AA30" si="25">Y25+Z25</f>
        <v>0</v>
      </c>
      <c r="AB25" s="71">
        <f t="shared" ref="AB25:AC25" si="26">AB26+AB27</f>
        <v>0</v>
      </c>
      <c r="AC25" s="72">
        <f t="shared" si="26"/>
        <v>0</v>
      </c>
      <c r="AD25" s="108">
        <f t="shared" ref="AD25:AD30" si="27">AB25+AC25</f>
        <v>0</v>
      </c>
      <c r="AE25" s="71">
        <f t="shared" ref="AE25:AF25" si="28">AE26+AE27</f>
        <v>0</v>
      </c>
      <c r="AF25" s="72">
        <f t="shared" si="28"/>
        <v>0</v>
      </c>
      <c r="AG25" s="108">
        <f t="shared" ref="AG25:AG30" si="29">AE25+AF25</f>
        <v>0</v>
      </c>
      <c r="AH25" s="71">
        <f t="shared" ref="AH25:AI25" si="30">AH26+AH27</f>
        <v>0</v>
      </c>
      <c r="AI25" s="72">
        <f t="shared" si="30"/>
        <v>0</v>
      </c>
      <c r="AJ25" s="108">
        <f t="shared" ref="AJ25:AJ30" si="31">AH25+AI25</f>
        <v>0</v>
      </c>
      <c r="AK25" s="71">
        <f t="shared" ref="AK25:AL25" si="32">AK26+AK27</f>
        <v>36057.366000000002</v>
      </c>
      <c r="AL25" s="72">
        <f t="shared" si="32"/>
        <v>36598.601999999999</v>
      </c>
      <c r="AM25" s="108">
        <f t="shared" ref="AM25:AM30" si="33">AK25+AL25</f>
        <v>72655.967999999993</v>
      </c>
      <c r="AN25" s="71">
        <f t="shared" ref="AN25:AO25" si="34">AN26+AN27</f>
        <v>0</v>
      </c>
      <c r="AO25" s="72">
        <f t="shared" si="34"/>
        <v>0</v>
      </c>
      <c r="AP25" s="108">
        <f t="shared" ref="AP25:AP30" si="35">AN25+AO25</f>
        <v>0</v>
      </c>
    </row>
    <row r="26" spans="1:42" s="55" customFormat="1" ht="15" x14ac:dyDescent="0.2">
      <c r="A26" s="61"/>
      <c r="B26" s="92" t="s">
        <v>115</v>
      </c>
      <c r="C26" s="63" t="s">
        <v>90</v>
      </c>
      <c r="D26" s="121"/>
      <c r="E26" s="115"/>
      <c r="F26" s="108">
        <f t="shared" si="11"/>
        <v>0</v>
      </c>
      <c r="G26" s="121">
        <v>23109.331999999999</v>
      </c>
      <c r="H26" s="115">
        <v>26750.922999999999</v>
      </c>
      <c r="I26" s="108">
        <f t="shared" si="13"/>
        <v>49860.254999999997</v>
      </c>
      <c r="J26" s="121"/>
      <c r="K26" s="115"/>
      <c r="L26" s="108">
        <f t="shared" si="15"/>
        <v>0</v>
      </c>
      <c r="M26" s="121">
        <v>2526.453</v>
      </c>
      <c r="N26" s="115">
        <v>2883.7579999999998</v>
      </c>
      <c r="O26" s="108">
        <f t="shared" si="17"/>
        <v>5410.2109999999993</v>
      </c>
      <c r="P26" s="121"/>
      <c r="Q26" s="115"/>
      <c r="R26" s="179">
        <f t="shared" si="19"/>
        <v>0</v>
      </c>
      <c r="S26" s="121"/>
      <c r="T26" s="115"/>
      <c r="U26" s="108">
        <f t="shared" si="21"/>
        <v>0</v>
      </c>
      <c r="V26" s="121"/>
      <c r="W26" s="115"/>
      <c r="X26" s="108">
        <f t="shared" si="23"/>
        <v>0</v>
      </c>
      <c r="Y26" s="121"/>
      <c r="Z26" s="115"/>
      <c r="AA26" s="108">
        <f t="shared" si="25"/>
        <v>0</v>
      </c>
      <c r="AB26" s="121"/>
      <c r="AC26" s="115"/>
      <c r="AD26" s="108">
        <f t="shared" si="27"/>
        <v>0</v>
      </c>
      <c r="AE26" s="121"/>
      <c r="AF26" s="115"/>
      <c r="AG26" s="108">
        <f t="shared" si="29"/>
        <v>0</v>
      </c>
      <c r="AH26" s="121"/>
      <c r="AI26" s="115"/>
      <c r="AJ26" s="108">
        <f t="shared" si="31"/>
        <v>0</v>
      </c>
      <c r="AK26" s="121">
        <v>35875.72</v>
      </c>
      <c r="AL26" s="115">
        <v>36576.406999999999</v>
      </c>
      <c r="AM26" s="108">
        <f t="shared" si="33"/>
        <v>72452.127000000008</v>
      </c>
      <c r="AN26" s="121"/>
      <c r="AO26" s="115"/>
      <c r="AP26" s="108">
        <f t="shared" si="35"/>
        <v>0</v>
      </c>
    </row>
    <row r="27" spans="1:42" s="55" customFormat="1" ht="15" x14ac:dyDescent="0.2">
      <c r="A27" s="84"/>
      <c r="B27" s="65" t="s">
        <v>116</v>
      </c>
      <c r="C27" s="66" t="s">
        <v>90</v>
      </c>
      <c r="D27" s="71"/>
      <c r="E27" s="72"/>
      <c r="F27" s="108">
        <f t="shared" si="11"/>
        <v>0</v>
      </c>
      <c r="G27" s="71">
        <v>32316.095000000001</v>
      </c>
      <c r="H27" s="72">
        <v>22918.68</v>
      </c>
      <c r="I27" s="108">
        <f t="shared" si="13"/>
        <v>55234.775000000001</v>
      </c>
      <c r="J27" s="71"/>
      <c r="K27" s="72"/>
      <c r="L27" s="108">
        <f t="shared" si="15"/>
        <v>0</v>
      </c>
      <c r="M27" s="71">
        <v>22159.163</v>
      </c>
      <c r="N27" s="72">
        <v>22666.234</v>
      </c>
      <c r="O27" s="108">
        <f t="shared" si="17"/>
        <v>44825.396999999997</v>
      </c>
      <c r="P27" s="71"/>
      <c r="Q27" s="72"/>
      <c r="R27" s="179">
        <f t="shared" si="19"/>
        <v>0</v>
      </c>
      <c r="S27" s="71"/>
      <c r="T27" s="72"/>
      <c r="U27" s="108">
        <f t="shared" si="21"/>
        <v>0</v>
      </c>
      <c r="V27" s="71"/>
      <c r="W27" s="72"/>
      <c r="X27" s="108">
        <f t="shared" si="23"/>
        <v>0</v>
      </c>
      <c r="Y27" s="71"/>
      <c r="Z27" s="72"/>
      <c r="AA27" s="108">
        <f t="shared" si="25"/>
        <v>0</v>
      </c>
      <c r="AB27" s="71"/>
      <c r="AC27" s="72"/>
      <c r="AD27" s="108">
        <f t="shared" si="27"/>
        <v>0</v>
      </c>
      <c r="AE27" s="71"/>
      <c r="AF27" s="72"/>
      <c r="AG27" s="108">
        <f t="shared" si="29"/>
        <v>0</v>
      </c>
      <c r="AH27" s="71"/>
      <c r="AI27" s="72"/>
      <c r="AJ27" s="108">
        <f t="shared" si="31"/>
        <v>0</v>
      </c>
      <c r="AK27" s="71">
        <v>181.64599999999999</v>
      </c>
      <c r="AL27" s="72">
        <v>22.195</v>
      </c>
      <c r="AM27" s="108">
        <f t="shared" si="33"/>
        <v>203.84099999999998</v>
      </c>
      <c r="AN27" s="71"/>
      <c r="AO27" s="72"/>
      <c r="AP27" s="108">
        <f t="shared" si="35"/>
        <v>0</v>
      </c>
    </row>
    <row r="28" spans="1:42" s="55" customFormat="1" ht="15" x14ac:dyDescent="0.2">
      <c r="A28" s="85" t="s">
        <v>117</v>
      </c>
      <c r="B28" s="73" t="s">
        <v>118</v>
      </c>
      <c r="C28" s="66" t="s">
        <v>90</v>
      </c>
      <c r="D28" s="71">
        <f>D29+D30</f>
        <v>12368.311000000002</v>
      </c>
      <c r="E28" s="72">
        <f>E29+E30</f>
        <v>11734.723</v>
      </c>
      <c r="F28" s="67">
        <f t="shared" si="11"/>
        <v>24103.034</v>
      </c>
      <c r="G28" s="71">
        <f>G29+G30</f>
        <v>0</v>
      </c>
      <c r="H28" s="72">
        <f>H29+H30</f>
        <v>0</v>
      </c>
      <c r="I28" s="67">
        <f t="shared" si="13"/>
        <v>0</v>
      </c>
      <c r="J28" s="71">
        <f>J29+J30</f>
        <v>5375.22</v>
      </c>
      <c r="K28" s="72">
        <f>K29+K30</f>
        <v>5119.2879999999996</v>
      </c>
      <c r="L28" s="67">
        <f t="shared" si="15"/>
        <v>10494.508</v>
      </c>
      <c r="M28" s="71">
        <f>M29+M30</f>
        <v>0</v>
      </c>
      <c r="N28" s="72">
        <f>N29+N30</f>
        <v>0</v>
      </c>
      <c r="O28" s="67">
        <f t="shared" si="17"/>
        <v>0</v>
      </c>
      <c r="P28" s="71">
        <f>P29+P30</f>
        <v>8046.2260000000006</v>
      </c>
      <c r="Q28" s="72">
        <f>Q29+Q30</f>
        <v>8615.0830000000005</v>
      </c>
      <c r="R28" s="193">
        <f t="shared" si="19"/>
        <v>16661.309000000001</v>
      </c>
      <c r="S28" s="71">
        <f>S29+S30</f>
        <v>4887.0010000000002</v>
      </c>
      <c r="T28" s="72">
        <f>T29+T30</f>
        <v>5608.7089999999998</v>
      </c>
      <c r="U28" s="108">
        <f t="shared" si="21"/>
        <v>10495.71</v>
      </c>
      <c r="V28" s="71">
        <f>V29+V30</f>
        <v>5640.4859999999999</v>
      </c>
      <c r="W28" s="72">
        <f>W29+W30</f>
        <v>5589.2159999999994</v>
      </c>
      <c r="X28" s="67">
        <f t="shared" si="23"/>
        <v>11229.701999999999</v>
      </c>
      <c r="Y28" s="71">
        <f>Y29+Y30</f>
        <v>1430.6410000000001</v>
      </c>
      <c r="Z28" s="72">
        <f>Z29+Z30</f>
        <v>1481.5239999999999</v>
      </c>
      <c r="AA28" s="67">
        <f t="shared" si="25"/>
        <v>2912.165</v>
      </c>
      <c r="AB28" s="71">
        <f>AB29+AB30</f>
        <v>15931.508000000002</v>
      </c>
      <c r="AC28" s="72">
        <f>AC29+AC30</f>
        <v>15749.380000000001</v>
      </c>
      <c r="AD28" s="67">
        <f t="shared" si="27"/>
        <v>31680.888000000003</v>
      </c>
      <c r="AE28" s="71">
        <f>AE29+AE30</f>
        <v>10597.044</v>
      </c>
      <c r="AF28" s="72">
        <f>AF29+AF30</f>
        <v>9767.8260000000009</v>
      </c>
      <c r="AG28" s="67">
        <f t="shared" si="29"/>
        <v>20364.870000000003</v>
      </c>
      <c r="AH28" s="71">
        <f>AH29+AH30</f>
        <v>14802.574000000001</v>
      </c>
      <c r="AI28" s="72">
        <f>AI29+AI30</f>
        <v>14356.786</v>
      </c>
      <c r="AJ28" s="67">
        <f t="shared" si="31"/>
        <v>29159.360000000001</v>
      </c>
      <c r="AK28" s="71">
        <f>AK29+AK30</f>
        <v>0</v>
      </c>
      <c r="AL28" s="72">
        <f>AL29+AL30</f>
        <v>0</v>
      </c>
      <c r="AM28" s="67">
        <f t="shared" si="33"/>
        <v>0</v>
      </c>
      <c r="AN28" s="71">
        <f>AN29+AN30</f>
        <v>1106.579</v>
      </c>
      <c r="AO28" s="72">
        <f>AO29+AO30</f>
        <v>5122.3969999999999</v>
      </c>
      <c r="AP28" s="108">
        <f t="shared" si="35"/>
        <v>6228.9759999999997</v>
      </c>
    </row>
    <row r="29" spans="1:42" s="55" customFormat="1" ht="15" x14ac:dyDescent="0.2">
      <c r="A29" s="84"/>
      <c r="B29" s="65" t="s">
        <v>115</v>
      </c>
      <c r="C29" s="66" t="s">
        <v>90</v>
      </c>
      <c r="D29" s="71">
        <v>10038.627</v>
      </c>
      <c r="E29" s="72">
        <v>9064.2970000000005</v>
      </c>
      <c r="F29" s="67">
        <f t="shared" si="11"/>
        <v>19102.923999999999</v>
      </c>
      <c r="G29" s="71"/>
      <c r="H29" s="72"/>
      <c r="I29" s="67">
        <f t="shared" si="13"/>
        <v>0</v>
      </c>
      <c r="J29" s="71">
        <v>371.11799999999999</v>
      </c>
      <c r="K29" s="72">
        <v>400.17700000000002</v>
      </c>
      <c r="L29" s="67">
        <f t="shared" si="15"/>
        <v>771.29500000000007</v>
      </c>
      <c r="M29" s="71"/>
      <c r="N29" s="72"/>
      <c r="O29" s="67">
        <f t="shared" si="17"/>
        <v>0</v>
      </c>
      <c r="P29" s="71">
        <v>4729.1750000000002</v>
      </c>
      <c r="Q29" s="72">
        <v>5324.8710000000001</v>
      </c>
      <c r="R29" s="193">
        <f t="shared" si="19"/>
        <v>10054.046</v>
      </c>
      <c r="S29" s="71">
        <v>3398.6480000000001</v>
      </c>
      <c r="T29" s="72">
        <v>3661.5940000000001</v>
      </c>
      <c r="U29" s="108">
        <f t="shared" si="21"/>
        <v>7060.2420000000002</v>
      </c>
      <c r="V29" s="71">
        <v>3626.712</v>
      </c>
      <c r="W29" s="72">
        <v>3932.9379999999996</v>
      </c>
      <c r="X29" s="67">
        <f t="shared" si="23"/>
        <v>7559.65</v>
      </c>
      <c r="Y29" s="71">
        <v>736.62099999999998</v>
      </c>
      <c r="Z29" s="72">
        <v>832.04400000000021</v>
      </c>
      <c r="AA29" s="67">
        <f t="shared" si="25"/>
        <v>1568.6650000000002</v>
      </c>
      <c r="AB29" s="71">
        <v>7884.5370000000003</v>
      </c>
      <c r="AC29" s="72">
        <v>8605.0619999999981</v>
      </c>
      <c r="AD29" s="67">
        <f t="shared" si="27"/>
        <v>16489.598999999998</v>
      </c>
      <c r="AE29" s="71">
        <v>5672.0460000000003</v>
      </c>
      <c r="AF29" s="72">
        <v>5212.6019999999999</v>
      </c>
      <c r="AG29" s="67">
        <f t="shared" si="29"/>
        <v>10884.648000000001</v>
      </c>
      <c r="AH29" s="71">
        <v>784.11599999999999</v>
      </c>
      <c r="AI29" s="72">
        <v>678.88800000000003</v>
      </c>
      <c r="AJ29" s="67">
        <f t="shared" si="31"/>
        <v>1463.0039999999999</v>
      </c>
      <c r="AK29" s="71"/>
      <c r="AL29" s="72"/>
      <c r="AM29" s="67">
        <f t="shared" si="33"/>
        <v>0</v>
      </c>
      <c r="AN29" s="71">
        <v>922.49800000000005</v>
      </c>
      <c r="AO29" s="72">
        <v>507.12599999999998</v>
      </c>
      <c r="AP29" s="108">
        <f t="shared" si="35"/>
        <v>1429.624</v>
      </c>
    </row>
    <row r="30" spans="1:42" s="55" customFormat="1" ht="15" x14ac:dyDescent="0.2">
      <c r="A30" s="84"/>
      <c r="B30" s="65" t="s">
        <v>116</v>
      </c>
      <c r="C30" s="66" t="s">
        <v>90</v>
      </c>
      <c r="D30" s="71">
        <v>2329.6840000000002</v>
      </c>
      <c r="E30" s="72">
        <v>2670.4259999999999</v>
      </c>
      <c r="F30" s="67">
        <f t="shared" si="11"/>
        <v>5000.1100000000006</v>
      </c>
      <c r="G30" s="71"/>
      <c r="H30" s="72"/>
      <c r="I30" s="67">
        <f t="shared" si="13"/>
        <v>0</v>
      </c>
      <c r="J30" s="71">
        <v>5004.1019999999999</v>
      </c>
      <c r="K30" s="72">
        <v>4719.1109999999999</v>
      </c>
      <c r="L30" s="67">
        <f t="shared" si="15"/>
        <v>9723.2129999999997</v>
      </c>
      <c r="M30" s="71"/>
      <c r="N30" s="72"/>
      <c r="O30" s="67">
        <f t="shared" si="17"/>
        <v>0</v>
      </c>
      <c r="P30" s="71">
        <v>3317.0509999999999</v>
      </c>
      <c r="Q30" s="72">
        <v>3290.212</v>
      </c>
      <c r="R30" s="193">
        <f t="shared" si="19"/>
        <v>6607.2629999999999</v>
      </c>
      <c r="S30" s="71">
        <v>1488.3530000000001</v>
      </c>
      <c r="T30" s="72">
        <v>1947.115</v>
      </c>
      <c r="U30" s="108">
        <f t="shared" si="21"/>
        <v>3435.4679999999998</v>
      </c>
      <c r="V30" s="71">
        <v>2013.7739999999999</v>
      </c>
      <c r="W30" s="72">
        <v>1656.2779999999998</v>
      </c>
      <c r="X30" s="67">
        <f t="shared" si="23"/>
        <v>3670.0519999999997</v>
      </c>
      <c r="Y30" s="71">
        <v>694.0200000000001</v>
      </c>
      <c r="Z30" s="72">
        <v>649.47999999999968</v>
      </c>
      <c r="AA30" s="67">
        <f t="shared" si="25"/>
        <v>1343.4999999999998</v>
      </c>
      <c r="AB30" s="71">
        <v>8046.9710000000005</v>
      </c>
      <c r="AC30" s="72">
        <v>7144.3180000000038</v>
      </c>
      <c r="AD30" s="67">
        <f t="shared" si="27"/>
        <v>15191.289000000004</v>
      </c>
      <c r="AE30" s="71">
        <v>4924.9979999999996</v>
      </c>
      <c r="AF30" s="72">
        <v>4555.2240000000002</v>
      </c>
      <c r="AG30" s="67">
        <f t="shared" si="29"/>
        <v>9480.2219999999998</v>
      </c>
      <c r="AH30" s="71">
        <v>14018.458000000001</v>
      </c>
      <c r="AI30" s="72">
        <v>13677.897999999999</v>
      </c>
      <c r="AJ30" s="67">
        <f t="shared" si="31"/>
        <v>27696.356</v>
      </c>
      <c r="AK30" s="71"/>
      <c r="AL30" s="72"/>
      <c r="AM30" s="67">
        <f t="shared" si="33"/>
        <v>0</v>
      </c>
      <c r="AN30" s="71">
        <v>184.08099999999999</v>
      </c>
      <c r="AO30" s="72">
        <v>4615.2709999999997</v>
      </c>
      <c r="AP30" s="108">
        <f t="shared" si="35"/>
        <v>4799.3519999999999</v>
      </c>
    </row>
    <row r="31" spans="1:42" s="80" customFormat="1" ht="14.25" x14ac:dyDescent="0.2">
      <c r="A31" s="178" t="s">
        <v>119</v>
      </c>
      <c r="B31" s="93" t="s">
        <v>120</v>
      </c>
      <c r="C31" s="88" t="s">
        <v>90</v>
      </c>
      <c r="D31" s="89">
        <f t="shared" ref="D31:AP31" si="36">D32+D33</f>
        <v>980.12800000000004</v>
      </c>
      <c r="E31" s="90">
        <f t="shared" si="36"/>
        <v>887.654</v>
      </c>
      <c r="F31" s="69">
        <f t="shared" si="36"/>
        <v>1867.7820000000002</v>
      </c>
      <c r="G31" s="89">
        <f t="shared" si="36"/>
        <v>6644.6059999999998</v>
      </c>
      <c r="H31" s="90">
        <f t="shared" si="36"/>
        <v>6557.9009999999998</v>
      </c>
      <c r="I31" s="69">
        <f t="shared" si="36"/>
        <v>13202.507000000001</v>
      </c>
      <c r="J31" s="89">
        <f t="shared" si="36"/>
        <v>259.55799999999999</v>
      </c>
      <c r="K31" s="90">
        <f t="shared" si="36"/>
        <v>498.58600000000001</v>
      </c>
      <c r="L31" s="69">
        <f t="shared" si="36"/>
        <v>758.14400000000001</v>
      </c>
      <c r="M31" s="89">
        <f t="shared" si="36"/>
        <v>4911.1869999999999</v>
      </c>
      <c r="N31" s="90">
        <f t="shared" si="36"/>
        <v>3801.9629999999997</v>
      </c>
      <c r="O31" s="69">
        <f t="shared" si="36"/>
        <v>8713.15</v>
      </c>
      <c r="P31" s="89">
        <f t="shared" si="36"/>
        <v>512.53</v>
      </c>
      <c r="Q31" s="90">
        <f t="shared" si="36"/>
        <v>589.38400000000001</v>
      </c>
      <c r="R31" s="192">
        <f t="shared" si="36"/>
        <v>1101.914</v>
      </c>
      <c r="S31" s="89">
        <f t="shared" si="36"/>
        <v>210.46299999999999</v>
      </c>
      <c r="T31" s="90">
        <f t="shared" si="36"/>
        <v>321.13799999999998</v>
      </c>
      <c r="U31" s="109">
        <f t="shared" si="36"/>
        <v>531.601</v>
      </c>
      <c r="V31" s="89">
        <f t="shared" si="36"/>
        <v>484.77100000000002</v>
      </c>
      <c r="W31" s="90">
        <f t="shared" si="36"/>
        <v>389.06599999999997</v>
      </c>
      <c r="X31" s="69">
        <f t="shared" si="36"/>
        <v>873.83699999999999</v>
      </c>
      <c r="Y31" s="89">
        <f t="shared" si="36"/>
        <v>148.83700000000002</v>
      </c>
      <c r="Z31" s="90">
        <f t="shared" si="36"/>
        <v>107.496</v>
      </c>
      <c r="AA31" s="69">
        <f t="shared" si="36"/>
        <v>256.33300000000003</v>
      </c>
      <c r="AB31" s="89">
        <f t="shared" si="36"/>
        <v>1718.4449999999999</v>
      </c>
      <c r="AC31" s="90">
        <f t="shared" si="36"/>
        <v>1303.8399999999999</v>
      </c>
      <c r="AD31" s="69">
        <f t="shared" si="36"/>
        <v>3022.2849999999999</v>
      </c>
      <c r="AE31" s="89">
        <f t="shared" si="36"/>
        <v>639.72200000000009</v>
      </c>
      <c r="AF31" s="90">
        <f t="shared" si="36"/>
        <v>2271.5149999999999</v>
      </c>
      <c r="AG31" s="69">
        <f t="shared" si="36"/>
        <v>2911.2370000000001</v>
      </c>
      <c r="AH31" s="89">
        <f t="shared" si="36"/>
        <v>465.73399999999998</v>
      </c>
      <c r="AI31" s="90">
        <f t="shared" si="36"/>
        <v>454.99899999999997</v>
      </c>
      <c r="AJ31" s="69">
        <f t="shared" si="36"/>
        <v>920.73299999999995</v>
      </c>
      <c r="AK31" s="89">
        <f t="shared" si="36"/>
        <v>4902.6559999999999</v>
      </c>
      <c r="AL31" s="90">
        <f t="shared" si="36"/>
        <v>4371.5240000000003</v>
      </c>
      <c r="AM31" s="69">
        <f t="shared" si="36"/>
        <v>9274.18</v>
      </c>
      <c r="AN31" s="89">
        <f t="shared" si="36"/>
        <v>3.6309999999999998</v>
      </c>
      <c r="AO31" s="90">
        <f t="shared" si="36"/>
        <v>5.6389999999999993</v>
      </c>
      <c r="AP31" s="109">
        <f t="shared" si="36"/>
        <v>9.27</v>
      </c>
    </row>
    <row r="32" spans="1:42" s="55" customFormat="1" ht="15" x14ac:dyDescent="0.2">
      <c r="A32" s="94"/>
      <c r="B32" s="95" t="s">
        <v>115</v>
      </c>
      <c r="C32" s="74" t="s">
        <v>90</v>
      </c>
      <c r="D32" s="122">
        <v>980.12800000000004</v>
      </c>
      <c r="E32" s="123">
        <v>887.654</v>
      </c>
      <c r="F32" s="96">
        <f>D32+E32</f>
        <v>1867.7820000000002</v>
      </c>
      <c r="G32" s="122">
        <v>3337.0390000000002</v>
      </c>
      <c r="H32" s="123">
        <v>3705.9989999999998</v>
      </c>
      <c r="I32" s="96">
        <f>G32+H32</f>
        <v>7043.0380000000005</v>
      </c>
      <c r="J32" s="122">
        <v>204.58</v>
      </c>
      <c r="K32" s="123">
        <v>169.971</v>
      </c>
      <c r="L32" s="96">
        <f>J32+K32</f>
        <v>374.55100000000004</v>
      </c>
      <c r="M32" s="122">
        <v>4850.8239999999996</v>
      </c>
      <c r="N32" s="123">
        <v>3740.7779999999998</v>
      </c>
      <c r="O32" s="96">
        <f>M32+N32</f>
        <v>8591.601999999999</v>
      </c>
      <c r="P32" s="122">
        <v>380.25200000000001</v>
      </c>
      <c r="Q32" s="123">
        <v>457.69799999999998</v>
      </c>
      <c r="R32" s="196">
        <f>P32+Q32</f>
        <v>837.95</v>
      </c>
      <c r="S32" s="122">
        <v>210.46299999999999</v>
      </c>
      <c r="T32" s="123">
        <v>321.13799999999998</v>
      </c>
      <c r="U32" s="111">
        <f>S32+T32</f>
        <v>531.601</v>
      </c>
      <c r="V32" s="122">
        <v>484.77100000000002</v>
      </c>
      <c r="W32" s="123">
        <v>389.06599999999997</v>
      </c>
      <c r="X32" s="96">
        <f>V32+W32</f>
        <v>873.83699999999999</v>
      </c>
      <c r="Y32" s="122">
        <v>144.26500000000001</v>
      </c>
      <c r="Z32" s="123">
        <v>103.08</v>
      </c>
      <c r="AA32" s="96">
        <f>Y32+Z32</f>
        <v>247.34500000000003</v>
      </c>
      <c r="AB32" s="122">
        <v>1682.837</v>
      </c>
      <c r="AC32" s="123">
        <v>1289.788</v>
      </c>
      <c r="AD32" s="96">
        <f>AB32+AC32</f>
        <v>2972.625</v>
      </c>
      <c r="AE32" s="122">
        <v>639.07000000000005</v>
      </c>
      <c r="AF32" s="123">
        <v>815.89599999999996</v>
      </c>
      <c r="AG32" s="96">
        <f>AE32+AF32</f>
        <v>1454.9659999999999</v>
      </c>
      <c r="AH32" s="122">
        <v>456.774</v>
      </c>
      <c r="AI32" s="123">
        <v>446.03899999999999</v>
      </c>
      <c r="AJ32" s="96">
        <f>AH32+AI32</f>
        <v>902.81299999999999</v>
      </c>
      <c r="AK32" s="122">
        <v>4795.201</v>
      </c>
      <c r="AL32" s="123">
        <v>4262.2870000000003</v>
      </c>
      <c r="AM32" s="96">
        <f>AK32+AL32</f>
        <v>9057.4880000000012</v>
      </c>
      <c r="AN32" s="122">
        <v>2.8519999999999999</v>
      </c>
      <c r="AO32" s="123">
        <v>3.101</v>
      </c>
      <c r="AP32" s="111">
        <f>AN32+AO32</f>
        <v>5.9529999999999994</v>
      </c>
    </row>
    <row r="33" spans="1:42" s="55" customFormat="1" ht="15" x14ac:dyDescent="0.2">
      <c r="A33" s="84"/>
      <c r="B33" s="97" t="s">
        <v>121</v>
      </c>
      <c r="C33" s="66" t="s">
        <v>90</v>
      </c>
      <c r="D33" s="71"/>
      <c r="E33" s="72"/>
      <c r="F33" s="67">
        <f>D33+E33</f>
        <v>0</v>
      </c>
      <c r="G33" s="71">
        <v>3307.567</v>
      </c>
      <c r="H33" s="72">
        <v>2851.902</v>
      </c>
      <c r="I33" s="67">
        <f>G33+H33</f>
        <v>6159.4690000000001</v>
      </c>
      <c r="J33" s="71">
        <v>54.978000000000002</v>
      </c>
      <c r="K33" s="72">
        <v>328.61500000000001</v>
      </c>
      <c r="L33" s="67">
        <f>J33+K33</f>
        <v>383.59300000000002</v>
      </c>
      <c r="M33" s="71">
        <v>60.363</v>
      </c>
      <c r="N33" s="72">
        <v>61.185000000000002</v>
      </c>
      <c r="O33" s="67">
        <f>M33+N33</f>
        <v>121.548</v>
      </c>
      <c r="P33" s="71">
        <v>132.27799999999999</v>
      </c>
      <c r="Q33" s="72">
        <v>131.68600000000001</v>
      </c>
      <c r="R33" s="193">
        <f>P33+Q33</f>
        <v>263.964</v>
      </c>
      <c r="S33" s="71"/>
      <c r="T33" s="72"/>
      <c r="U33" s="108">
        <f>S33+T33</f>
        <v>0</v>
      </c>
      <c r="V33" s="71"/>
      <c r="W33" s="72"/>
      <c r="X33" s="67">
        <f>V33+W33</f>
        <v>0</v>
      </c>
      <c r="Y33" s="122">
        <v>4.5719999999999983</v>
      </c>
      <c r="Z33" s="123">
        <v>4.4160000000000004</v>
      </c>
      <c r="AA33" s="67">
        <f>Y33+Z33</f>
        <v>8.9879999999999995</v>
      </c>
      <c r="AB33" s="71">
        <v>35.608000000000004</v>
      </c>
      <c r="AC33" s="72">
        <v>14.052</v>
      </c>
      <c r="AD33" s="67">
        <f>AB33+AC33</f>
        <v>49.660000000000004</v>
      </c>
      <c r="AE33" s="71">
        <v>0.65200000000000002</v>
      </c>
      <c r="AF33" s="72">
        <v>1455.6189999999999</v>
      </c>
      <c r="AG33" s="67">
        <f>AE33+AF33</f>
        <v>1456.271</v>
      </c>
      <c r="AH33" s="71">
        <v>8.9600000000000009</v>
      </c>
      <c r="AI33" s="72">
        <v>8.9600000000000009</v>
      </c>
      <c r="AJ33" s="67">
        <f>AH33+AI33</f>
        <v>17.920000000000002</v>
      </c>
      <c r="AK33" s="71">
        <v>107.455</v>
      </c>
      <c r="AL33" s="72">
        <v>109.23699999999999</v>
      </c>
      <c r="AM33" s="67">
        <f>AK33+AL33</f>
        <v>216.69200000000001</v>
      </c>
      <c r="AN33" s="71">
        <v>0.77900000000000003</v>
      </c>
      <c r="AO33" s="72">
        <v>2.5379999999999998</v>
      </c>
      <c r="AP33" s="108">
        <f>AN33+AO33</f>
        <v>3.3169999999999997</v>
      </c>
    </row>
    <row r="34" spans="1:42" s="80" customFormat="1" ht="14.25" x14ac:dyDescent="0.2">
      <c r="A34" s="98" t="s">
        <v>122</v>
      </c>
      <c r="B34" s="99" t="s">
        <v>0</v>
      </c>
      <c r="C34" s="77" t="s">
        <v>90</v>
      </c>
      <c r="D34" s="78">
        <f t="shared" ref="D34:AP34" si="37">D35+D36</f>
        <v>162.44499999999999</v>
      </c>
      <c r="E34" s="79">
        <f t="shared" si="37"/>
        <v>179.97399999999999</v>
      </c>
      <c r="F34" s="100">
        <f t="shared" si="37"/>
        <v>342.41899999999998</v>
      </c>
      <c r="G34" s="78">
        <f t="shared" si="37"/>
        <v>16824.472999999998</v>
      </c>
      <c r="H34" s="79">
        <f t="shared" si="37"/>
        <v>16578.612000000001</v>
      </c>
      <c r="I34" s="100">
        <f t="shared" si="37"/>
        <v>33403.084999999999</v>
      </c>
      <c r="J34" s="78">
        <f t="shared" si="37"/>
        <v>204.85299999999998</v>
      </c>
      <c r="K34" s="79">
        <f t="shared" si="37"/>
        <v>199.08799999999999</v>
      </c>
      <c r="L34" s="100">
        <f t="shared" si="37"/>
        <v>403.94100000000003</v>
      </c>
      <c r="M34" s="78">
        <f t="shared" si="37"/>
        <v>1640.788</v>
      </c>
      <c r="N34" s="79">
        <f t="shared" si="37"/>
        <v>1272.471</v>
      </c>
      <c r="O34" s="100">
        <f t="shared" si="37"/>
        <v>2913.259</v>
      </c>
      <c r="P34" s="78">
        <f t="shared" si="37"/>
        <v>72.343999999999994</v>
      </c>
      <c r="Q34" s="79">
        <f t="shared" si="37"/>
        <v>393.11199999999997</v>
      </c>
      <c r="R34" s="197">
        <f t="shared" si="37"/>
        <v>465.45600000000002</v>
      </c>
      <c r="S34" s="78">
        <f t="shared" si="37"/>
        <v>184.946</v>
      </c>
      <c r="T34" s="79">
        <f t="shared" si="37"/>
        <v>181.13299999999998</v>
      </c>
      <c r="U34" s="112">
        <f t="shared" si="37"/>
        <v>366.07900000000001</v>
      </c>
      <c r="V34" s="78">
        <f t="shared" si="37"/>
        <v>367.22699999999998</v>
      </c>
      <c r="W34" s="79">
        <f t="shared" si="37"/>
        <v>408.601</v>
      </c>
      <c r="X34" s="100">
        <f t="shared" si="37"/>
        <v>775.82799999999997</v>
      </c>
      <c r="Y34" s="78">
        <f t="shared" si="37"/>
        <v>49.068000000000005</v>
      </c>
      <c r="Z34" s="79">
        <f t="shared" si="37"/>
        <v>48.375999999999983</v>
      </c>
      <c r="AA34" s="100">
        <f t="shared" si="37"/>
        <v>97.443999999999988</v>
      </c>
      <c r="AB34" s="78">
        <f t="shared" si="37"/>
        <v>1085.5650000000001</v>
      </c>
      <c r="AC34" s="79">
        <f t="shared" si="37"/>
        <v>940.90599999999995</v>
      </c>
      <c r="AD34" s="100">
        <f t="shared" si="37"/>
        <v>2026.471</v>
      </c>
      <c r="AE34" s="78">
        <f t="shared" si="37"/>
        <v>112.21600000000001</v>
      </c>
      <c r="AF34" s="79">
        <f t="shared" si="37"/>
        <v>270.83699999999999</v>
      </c>
      <c r="AG34" s="100">
        <f t="shared" si="37"/>
        <v>383.053</v>
      </c>
      <c r="AH34" s="78">
        <f t="shared" si="37"/>
        <v>49.61</v>
      </c>
      <c r="AI34" s="79">
        <f t="shared" si="37"/>
        <v>28.722999999999999</v>
      </c>
      <c r="AJ34" s="100">
        <f t="shared" si="37"/>
        <v>78.332999999999998</v>
      </c>
      <c r="AK34" s="78">
        <f t="shared" si="37"/>
        <v>1280.664</v>
      </c>
      <c r="AL34" s="79">
        <f t="shared" si="37"/>
        <v>1944.6660000000002</v>
      </c>
      <c r="AM34" s="100">
        <f t="shared" si="37"/>
        <v>3225.33</v>
      </c>
      <c r="AN34" s="78">
        <f t="shared" si="37"/>
        <v>35.877000000000002</v>
      </c>
      <c r="AO34" s="79">
        <f t="shared" si="37"/>
        <v>38.231999999999999</v>
      </c>
      <c r="AP34" s="112">
        <f t="shared" si="37"/>
        <v>74.108999999999995</v>
      </c>
    </row>
    <row r="35" spans="1:42" s="55" customFormat="1" ht="15" x14ac:dyDescent="0.2">
      <c r="A35" s="84"/>
      <c r="B35" s="65" t="s">
        <v>115</v>
      </c>
      <c r="C35" s="66" t="s">
        <v>90</v>
      </c>
      <c r="D35" s="71">
        <v>162.44499999999999</v>
      </c>
      <c r="E35" s="72">
        <v>179.97399999999999</v>
      </c>
      <c r="F35" s="91">
        <f>D35+E35</f>
        <v>342.41899999999998</v>
      </c>
      <c r="G35" s="71">
        <v>16455.514999999999</v>
      </c>
      <c r="H35" s="72">
        <v>16143.867</v>
      </c>
      <c r="I35" s="91">
        <f>G35+H35</f>
        <v>32599.381999999998</v>
      </c>
      <c r="J35" s="71">
        <v>3.9380000000000002</v>
      </c>
      <c r="K35" s="72">
        <v>7.1859999999999999</v>
      </c>
      <c r="L35" s="91">
        <f>J35+K35</f>
        <v>11.124000000000001</v>
      </c>
      <c r="M35" s="71">
        <v>1086.0550000000001</v>
      </c>
      <c r="N35" s="72">
        <v>697.41600000000005</v>
      </c>
      <c r="O35" s="91">
        <f>M35+N35</f>
        <v>1783.471</v>
      </c>
      <c r="P35" s="71">
        <v>36.137</v>
      </c>
      <c r="Q35" s="72">
        <v>36.137999999999998</v>
      </c>
      <c r="R35" s="198">
        <f>P35+Q35</f>
        <v>72.275000000000006</v>
      </c>
      <c r="S35" s="71">
        <v>14.081</v>
      </c>
      <c r="T35" s="72">
        <v>12.003</v>
      </c>
      <c r="U35" s="108">
        <f>S35+T35</f>
        <v>26.084</v>
      </c>
      <c r="V35" s="71">
        <v>350.06900000000002</v>
      </c>
      <c r="W35" s="72">
        <v>391.44299999999993</v>
      </c>
      <c r="X35" s="91">
        <f>V35+W35</f>
        <v>741.51199999999994</v>
      </c>
      <c r="Y35" s="71">
        <v>47.532000000000004</v>
      </c>
      <c r="Z35" s="72">
        <v>46.923999999999985</v>
      </c>
      <c r="AA35" s="91">
        <f>Y35+Z35</f>
        <v>94.455999999999989</v>
      </c>
      <c r="AB35" s="71">
        <v>1010.638</v>
      </c>
      <c r="AC35" s="72">
        <v>908.92</v>
      </c>
      <c r="AD35" s="91">
        <f>AB35+AC35</f>
        <v>1919.558</v>
      </c>
      <c r="AE35" s="71">
        <v>73.832999999999998</v>
      </c>
      <c r="AF35" s="72">
        <v>79.36</v>
      </c>
      <c r="AG35" s="91">
        <f>AE35+AF35</f>
        <v>153.19299999999998</v>
      </c>
      <c r="AH35" s="71">
        <v>49.61</v>
      </c>
      <c r="AI35" s="72">
        <v>28.722999999999999</v>
      </c>
      <c r="AJ35" s="91">
        <f>AH35+AI35</f>
        <v>78.332999999999998</v>
      </c>
      <c r="AK35" s="71">
        <v>1149.135</v>
      </c>
      <c r="AL35" s="72">
        <v>1810.9570000000001</v>
      </c>
      <c r="AM35" s="91">
        <f>AK35+AL35</f>
        <v>2960.0920000000001</v>
      </c>
      <c r="AN35" s="71">
        <v>30.026</v>
      </c>
      <c r="AO35" s="72">
        <v>30.919</v>
      </c>
      <c r="AP35" s="110">
        <f>AN35+AO35</f>
        <v>60.945</v>
      </c>
    </row>
    <row r="36" spans="1:42" s="55" customFormat="1" ht="15" x14ac:dyDescent="0.2">
      <c r="A36" s="101"/>
      <c r="B36" s="102" t="s">
        <v>123</v>
      </c>
      <c r="C36" s="103" t="s">
        <v>90</v>
      </c>
      <c r="D36" s="124"/>
      <c r="E36" s="125"/>
      <c r="F36" s="104">
        <f>D36+E36</f>
        <v>0</v>
      </c>
      <c r="G36" s="124">
        <v>368.95800000000003</v>
      </c>
      <c r="H36" s="125">
        <v>434.745</v>
      </c>
      <c r="I36" s="104">
        <f>G36+H36</f>
        <v>803.70299999999997</v>
      </c>
      <c r="J36" s="124">
        <v>200.91499999999999</v>
      </c>
      <c r="K36" s="125">
        <v>191.90199999999999</v>
      </c>
      <c r="L36" s="104">
        <f>J36+K36</f>
        <v>392.81700000000001</v>
      </c>
      <c r="M36" s="124">
        <v>554.73299999999995</v>
      </c>
      <c r="N36" s="125">
        <v>575.05499999999995</v>
      </c>
      <c r="O36" s="104">
        <f>M36+N36</f>
        <v>1129.788</v>
      </c>
      <c r="P36" s="124">
        <v>36.207000000000001</v>
      </c>
      <c r="Q36" s="125">
        <v>356.97399999999999</v>
      </c>
      <c r="R36" s="199">
        <f>P36+Q36</f>
        <v>393.18099999999998</v>
      </c>
      <c r="S36" s="124">
        <v>170.86500000000001</v>
      </c>
      <c r="T36" s="125">
        <v>169.13</v>
      </c>
      <c r="U36" s="104">
        <f>S36+T36</f>
        <v>339.995</v>
      </c>
      <c r="V36" s="124">
        <v>17.157999999999959</v>
      </c>
      <c r="W36" s="125">
        <v>17.158000000000072</v>
      </c>
      <c r="X36" s="104">
        <f>V36+W36</f>
        <v>34.316000000000031</v>
      </c>
      <c r="Y36" s="124">
        <v>1.536</v>
      </c>
      <c r="Z36" s="125">
        <v>1.452</v>
      </c>
      <c r="AA36" s="104">
        <f>Y36+Z36</f>
        <v>2.988</v>
      </c>
      <c r="AB36" s="124">
        <v>74.927000000000007</v>
      </c>
      <c r="AC36" s="125">
        <v>31.986000000000001</v>
      </c>
      <c r="AD36" s="104">
        <f>AB36+AC36</f>
        <v>106.91300000000001</v>
      </c>
      <c r="AE36" s="124">
        <v>38.383000000000003</v>
      </c>
      <c r="AF36" s="125">
        <v>191.477</v>
      </c>
      <c r="AG36" s="104">
        <f>AE36+AF36</f>
        <v>229.86</v>
      </c>
      <c r="AH36" s="124"/>
      <c r="AI36" s="125"/>
      <c r="AJ36" s="104">
        <f>AH36+AI36</f>
        <v>0</v>
      </c>
      <c r="AK36" s="124">
        <v>131.529</v>
      </c>
      <c r="AL36" s="125">
        <v>133.709</v>
      </c>
      <c r="AM36" s="104">
        <f>AK36+AL36</f>
        <v>265.238</v>
      </c>
      <c r="AN36" s="124">
        <v>5.851</v>
      </c>
      <c r="AO36" s="125">
        <v>7.3129999999999997</v>
      </c>
      <c r="AP36" s="113">
        <f>AN36+AO36</f>
        <v>13.164</v>
      </c>
    </row>
    <row r="37" spans="1:42" hidden="1" x14ac:dyDescent="0.2"/>
    <row r="38" spans="1:42" hidden="1" x14ac:dyDescent="0.2">
      <c r="F38" s="120">
        <f>F34+F31+F24+F18+F15+F12-F8</f>
        <v>0</v>
      </c>
      <c r="I38" s="120">
        <f>I34+I31+I24+I18+I15+I12-I8</f>
        <v>179034.10000000003</v>
      </c>
      <c r="L38" s="105">
        <f>L34+L31+L24+L18+L15+L12-L8</f>
        <v>0</v>
      </c>
      <c r="O38" s="105">
        <f>O34+O31+O24+O18+O15+O12-O8</f>
        <v>0</v>
      </c>
      <c r="R38" s="105">
        <f>R34+R31+R24+R18+R15+R12-R8</f>
        <v>0</v>
      </c>
      <c r="U38" s="105">
        <f>U34+U31+U24+U18+U15+U12-U8</f>
        <v>0</v>
      </c>
      <c r="X38" s="105">
        <f>X34+X31+X24+X18+X15+X12-X8</f>
        <v>0</v>
      </c>
      <c r="AA38" s="105">
        <f>AA34+AA31+AA24+AA18+AA15+AA12-AA8</f>
        <v>0</v>
      </c>
      <c r="AD38" s="105">
        <f>AD34+AD31+AD24+AD18+AD15+AD12-AD8</f>
        <v>0</v>
      </c>
      <c r="AG38" s="105">
        <f>AG34+AG31+AG24+AG18+AG15+AG12-AG8</f>
        <v>0</v>
      </c>
      <c r="AJ38" s="105">
        <f>AJ34+AJ31+AJ24+AJ18+AJ15+AJ12-AJ8</f>
        <v>0</v>
      </c>
      <c r="AM38" s="105">
        <f>AM34+AM31+AM24+AM18+AM15+AM12-AM8</f>
        <v>0</v>
      </c>
      <c r="AP38" s="105">
        <f>AP34+AP31+AP24+AP18+AP15+AP12-AP8</f>
        <v>0</v>
      </c>
    </row>
    <row r="39" spans="1:42" hidden="1" x14ac:dyDescent="0.2"/>
    <row r="41" spans="1:42" x14ac:dyDescent="0.2"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</row>
    <row r="42" spans="1:42" x14ac:dyDescent="0.2">
      <c r="B42" s="132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4"/>
      <c r="W42" s="134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</row>
    <row r="43" spans="1:42" x14ac:dyDescent="0.2">
      <c r="B43" s="132"/>
      <c r="AK43" s="137"/>
      <c r="AL43" s="137"/>
    </row>
    <row r="44" spans="1:42" x14ac:dyDescent="0.2">
      <c r="M44" s="120"/>
      <c r="N44" s="120"/>
      <c r="V44" s="225"/>
      <c r="W44" s="225"/>
      <c r="AK44" s="133"/>
      <c r="AL44" s="133"/>
      <c r="AM44" s="133"/>
    </row>
    <row r="45" spans="1:42" x14ac:dyDescent="0.2">
      <c r="B45" s="132"/>
      <c r="G45" s="134"/>
      <c r="H45" s="134"/>
      <c r="I45" s="134"/>
    </row>
    <row r="46" spans="1:42" x14ac:dyDescent="0.2">
      <c r="B46" s="132"/>
      <c r="G46" s="120"/>
      <c r="H46" s="120"/>
      <c r="I46" s="120"/>
      <c r="J46" s="120"/>
      <c r="K46" s="120"/>
      <c r="L46" s="120"/>
      <c r="V46" s="222"/>
      <c r="W46" s="222"/>
    </row>
    <row r="47" spans="1:42" x14ac:dyDescent="0.2">
      <c r="V47" s="132"/>
      <c r="W47" s="132"/>
      <c r="X47" s="132"/>
    </row>
    <row r="51" spans="22:24" x14ac:dyDescent="0.2">
      <c r="V51" s="222"/>
      <c r="W51" s="222"/>
      <c r="X51" s="132"/>
    </row>
    <row r="52" spans="22:24" x14ac:dyDescent="0.2">
      <c r="V52" s="226"/>
      <c r="W52" s="226"/>
      <c r="X52" s="222"/>
    </row>
    <row r="53" spans="22:24" x14ac:dyDescent="0.2">
      <c r="V53" s="132"/>
      <c r="W53" s="132"/>
    </row>
    <row r="54" spans="22:24" x14ac:dyDescent="0.2">
      <c r="V54" s="132"/>
      <c r="W54" s="132"/>
    </row>
    <row r="55" spans="22:24" x14ac:dyDescent="0.2">
      <c r="V55" s="222"/>
      <c r="W55" s="222"/>
      <c r="X55" s="222"/>
    </row>
    <row r="56" spans="22:24" x14ac:dyDescent="0.2">
      <c r="V56" s="222"/>
      <c r="W56" s="222"/>
      <c r="X56" s="222"/>
    </row>
    <row r="57" spans="22:24" x14ac:dyDescent="0.2">
      <c r="V57" s="223"/>
      <c r="W57" s="224"/>
      <c r="X57" s="224"/>
    </row>
    <row r="58" spans="22:24" x14ac:dyDescent="0.2">
      <c r="V58" s="132"/>
      <c r="W58" s="222"/>
      <c r="X58" s="222"/>
    </row>
    <row r="59" spans="22:24" x14ac:dyDescent="0.2">
      <c r="V59" s="132"/>
      <c r="W59" s="132"/>
      <c r="X59" s="222"/>
    </row>
    <row r="61" spans="22:24" x14ac:dyDescent="0.2">
      <c r="V61" s="223"/>
      <c r="W61" s="223"/>
      <c r="X61" s="223"/>
    </row>
    <row r="63" spans="22:24" x14ac:dyDescent="0.2">
      <c r="V63" s="223"/>
      <c r="W63" s="223"/>
      <c r="X63" s="223"/>
    </row>
    <row r="64" spans="22:24" x14ac:dyDescent="0.2">
      <c r="V64" s="132"/>
      <c r="W64" s="132"/>
      <c r="X64" s="132"/>
    </row>
    <row r="65" spans="22:24" x14ac:dyDescent="0.2">
      <c r="V65" s="132"/>
      <c r="W65" s="132"/>
      <c r="X65" s="132"/>
    </row>
  </sheetData>
  <mergeCells count="44">
    <mergeCell ref="Y3:AA3"/>
    <mergeCell ref="A1:U1"/>
    <mergeCell ref="A2:A6"/>
    <mergeCell ref="B2:B6"/>
    <mergeCell ref="C2:C6"/>
    <mergeCell ref="D2:AP2"/>
    <mergeCell ref="D3:F3"/>
    <mergeCell ref="G3:I3"/>
    <mergeCell ref="J3:L3"/>
    <mergeCell ref="M3:O3"/>
    <mergeCell ref="P3:R3"/>
    <mergeCell ref="AK3:AM3"/>
    <mergeCell ref="AN3:AP3"/>
    <mergeCell ref="D4:F4"/>
    <mergeCell ref="G4:I4"/>
    <mergeCell ref="AB3:AD3"/>
    <mergeCell ref="AE3:AG3"/>
    <mergeCell ref="AH3:AJ3"/>
    <mergeCell ref="AB4:AD4"/>
    <mergeCell ref="AE4:AG4"/>
    <mergeCell ref="AH4:AJ4"/>
    <mergeCell ref="J4:L4"/>
    <mergeCell ref="M4:O4"/>
    <mergeCell ref="V3:X3"/>
    <mergeCell ref="D5:F5"/>
    <mergeCell ref="G5:I5"/>
    <mergeCell ref="J5:L5"/>
    <mergeCell ref="M5:O5"/>
    <mergeCell ref="P5:R5"/>
    <mergeCell ref="P4:R4"/>
    <mergeCell ref="S4:U4"/>
    <mergeCell ref="V4:X4"/>
    <mergeCell ref="S3:U3"/>
    <mergeCell ref="AK4:AM4"/>
    <mergeCell ref="AN4:AP4"/>
    <mergeCell ref="AK5:AM5"/>
    <mergeCell ref="AN5:AP5"/>
    <mergeCell ref="S5:U5"/>
    <mergeCell ref="V5:X5"/>
    <mergeCell ref="Y5:AA5"/>
    <mergeCell ref="AB5:AD5"/>
    <mergeCell ref="AE5:AG5"/>
    <mergeCell ref="AH5:AJ5"/>
    <mergeCell ref="Y4:AA4"/>
  </mergeCells>
  <printOptions horizontalCentered="1"/>
  <pageMargins left="0.39370078740157483" right="0.39370078740157483" top="1.1811023622047245" bottom="0.39370078740157483" header="0.31496062992125984" footer="0.31496062992125984"/>
  <pageSetup paperSize="9" scale="43" fitToWidth="3" orientation="landscape" blackAndWhite="1" r:id="rId1"/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P47"/>
  <sheetViews>
    <sheetView view="pageBreakPreview" zoomScale="60" zoomScaleNormal="100" workbookViewId="0">
      <pane xSplit="3" ySplit="7" topLeftCell="D8" activePane="bottomRight" state="frozen"/>
      <selection activeCell="A17" sqref="A17"/>
      <selection pane="topRight" activeCell="A17" sqref="A17"/>
      <selection pane="bottomLeft" activeCell="A17" sqref="A17"/>
      <selection pane="bottomRight" activeCell="S47" sqref="A47:S47"/>
    </sheetView>
  </sheetViews>
  <sheetFormatPr defaultColWidth="9.140625" defaultRowHeight="12.75" x14ac:dyDescent="0.2"/>
  <cols>
    <col min="1" max="1" width="6.7109375" style="105" customWidth="1"/>
    <col min="2" max="2" width="41" style="105" customWidth="1"/>
    <col min="3" max="3" width="10.7109375" style="105" customWidth="1"/>
    <col min="4" max="5" width="12.85546875" style="105" customWidth="1"/>
    <col min="6" max="6" width="12.140625" style="105" customWidth="1"/>
    <col min="7" max="8" width="13.28515625" style="105" customWidth="1"/>
    <col min="9" max="9" width="13.7109375" style="105" customWidth="1"/>
    <col min="10" max="11" width="14" style="105" customWidth="1"/>
    <col min="12" max="12" width="11.7109375" style="105" customWidth="1"/>
    <col min="13" max="14" width="13.140625" style="105" customWidth="1"/>
    <col min="15" max="15" width="12.42578125" style="105" customWidth="1"/>
    <col min="16" max="17" width="14.42578125" style="105" customWidth="1"/>
    <col min="18" max="18" width="11.7109375" style="105" customWidth="1"/>
    <col min="19" max="20" width="13.28515625" style="105" customWidth="1"/>
    <col min="21" max="21" width="11.7109375" style="105" customWidth="1"/>
    <col min="22" max="23" width="13.5703125" style="105" customWidth="1"/>
    <col min="24" max="24" width="11.7109375" style="105" customWidth="1"/>
    <col min="25" max="25" width="14.140625" style="105" customWidth="1"/>
    <col min="26" max="26" width="13.28515625" style="105" customWidth="1"/>
    <col min="27" max="27" width="11.7109375" style="105" customWidth="1"/>
    <col min="28" max="29" width="13.5703125" style="105" customWidth="1"/>
    <col min="30" max="30" width="11.7109375" style="105" customWidth="1"/>
    <col min="31" max="32" width="13" style="105" customWidth="1"/>
    <col min="33" max="33" width="11.7109375" style="105" customWidth="1"/>
    <col min="34" max="35" width="14" style="105" customWidth="1"/>
    <col min="36" max="36" width="11.7109375" style="105" customWidth="1"/>
    <col min="37" max="38" width="13.140625" style="105" customWidth="1"/>
    <col min="39" max="39" width="13" style="105" customWidth="1"/>
    <col min="40" max="41" width="13.5703125" style="105" customWidth="1"/>
    <col min="42" max="42" width="11.7109375" style="105" customWidth="1"/>
    <col min="43" max="16384" width="9.140625" style="105"/>
  </cols>
  <sheetData>
    <row r="1" spans="1:42" s="47" customFormat="1" ht="18.75" x14ac:dyDescent="0.3">
      <c r="A1" s="445" t="s">
        <v>83</v>
      </c>
      <c r="B1" s="445"/>
      <c r="C1" s="445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</row>
    <row r="2" spans="1:42" s="47" customFormat="1" ht="18.75" x14ac:dyDescent="0.3">
      <c r="A2" s="447" t="s">
        <v>84</v>
      </c>
      <c r="B2" s="450" t="s">
        <v>85</v>
      </c>
      <c r="C2" s="450" t="s">
        <v>30</v>
      </c>
      <c r="D2" s="443" t="s">
        <v>206</v>
      </c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443"/>
      <c r="AO2" s="443"/>
      <c r="AP2" s="444"/>
    </row>
    <row r="3" spans="1:42" s="48" customFormat="1" ht="14.25" customHeight="1" x14ac:dyDescent="0.2">
      <c r="A3" s="448"/>
      <c r="B3" s="450"/>
      <c r="C3" s="450"/>
      <c r="D3" s="423" t="s">
        <v>125</v>
      </c>
      <c r="E3" s="424"/>
      <c r="F3" s="425"/>
      <c r="G3" s="426" t="s">
        <v>124</v>
      </c>
      <c r="H3" s="427"/>
      <c r="I3" s="428"/>
      <c r="J3" s="429" t="s">
        <v>126</v>
      </c>
      <c r="K3" s="430"/>
      <c r="L3" s="431"/>
      <c r="M3" s="432" t="s">
        <v>127</v>
      </c>
      <c r="N3" s="433"/>
      <c r="O3" s="434"/>
      <c r="P3" s="435" t="s">
        <v>128</v>
      </c>
      <c r="Q3" s="436"/>
      <c r="R3" s="437"/>
      <c r="S3" s="420" t="s">
        <v>129</v>
      </c>
      <c r="T3" s="421"/>
      <c r="U3" s="422"/>
      <c r="V3" s="420" t="s">
        <v>130</v>
      </c>
      <c r="W3" s="421"/>
      <c r="X3" s="422"/>
      <c r="Y3" s="420" t="s">
        <v>131</v>
      </c>
      <c r="Z3" s="421"/>
      <c r="AA3" s="422"/>
      <c r="AB3" s="420" t="s">
        <v>132</v>
      </c>
      <c r="AC3" s="421"/>
      <c r="AD3" s="422"/>
      <c r="AE3" s="420" t="s">
        <v>133</v>
      </c>
      <c r="AF3" s="421"/>
      <c r="AG3" s="422"/>
      <c r="AH3" s="420" t="s">
        <v>134</v>
      </c>
      <c r="AI3" s="421"/>
      <c r="AJ3" s="422"/>
      <c r="AK3" s="420" t="s">
        <v>135</v>
      </c>
      <c r="AL3" s="421"/>
      <c r="AM3" s="422"/>
      <c r="AN3" s="420" t="s">
        <v>136</v>
      </c>
      <c r="AO3" s="421"/>
      <c r="AP3" s="422"/>
    </row>
    <row r="4" spans="1:42" s="48" customFormat="1" ht="15" customHeight="1" x14ac:dyDescent="0.2">
      <c r="A4" s="448"/>
      <c r="B4" s="450"/>
      <c r="C4" s="450"/>
      <c r="D4" s="451" t="s">
        <v>152</v>
      </c>
      <c r="E4" s="451"/>
      <c r="F4" s="452"/>
      <c r="G4" s="453" t="s">
        <v>152</v>
      </c>
      <c r="H4" s="453"/>
      <c r="I4" s="454"/>
      <c r="J4" s="455" t="s">
        <v>152</v>
      </c>
      <c r="K4" s="455"/>
      <c r="L4" s="456"/>
      <c r="M4" s="457" t="s">
        <v>152</v>
      </c>
      <c r="N4" s="457"/>
      <c r="O4" s="458"/>
      <c r="P4" s="459" t="s">
        <v>152</v>
      </c>
      <c r="Q4" s="459"/>
      <c r="R4" s="460"/>
      <c r="S4" s="461" t="s">
        <v>152</v>
      </c>
      <c r="T4" s="438"/>
      <c r="U4" s="439"/>
      <c r="V4" s="438" t="s">
        <v>152</v>
      </c>
      <c r="W4" s="438"/>
      <c r="X4" s="439"/>
      <c r="Y4" s="438" t="s">
        <v>152</v>
      </c>
      <c r="Z4" s="438"/>
      <c r="AA4" s="439"/>
      <c r="AB4" s="438" t="s">
        <v>152</v>
      </c>
      <c r="AC4" s="438"/>
      <c r="AD4" s="439"/>
      <c r="AE4" s="438" t="s">
        <v>152</v>
      </c>
      <c r="AF4" s="438"/>
      <c r="AG4" s="439"/>
      <c r="AH4" s="438" t="s">
        <v>152</v>
      </c>
      <c r="AI4" s="438"/>
      <c r="AJ4" s="439"/>
      <c r="AK4" s="438" t="s">
        <v>152</v>
      </c>
      <c r="AL4" s="438"/>
      <c r="AM4" s="439"/>
      <c r="AN4" s="438" t="s">
        <v>152</v>
      </c>
      <c r="AO4" s="438"/>
      <c r="AP4" s="439"/>
    </row>
    <row r="5" spans="1:42" s="48" customFormat="1" ht="15" customHeight="1" x14ac:dyDescent="0.2">
      <c r="A5" s="448"/>
      <c r="B5" s="450"/>
      <c r="C5" s="450"/>
      <c r="D5" s="462" t="s">
        <v>82</v>
      </c>
      <c r="E5" s="463"/>
      <c r="F5" s="464"/>
      <c r="G5" s="465" t="s">
        <v>82</v>
      </c>
      <c r="H5" s="466"/>
      <c r="I5" s="467"/>
      <c r="J5" s="468" t="s">
        <v>82</v>
      </c>
      <c r="K5" s="469"/>
      <c r="L5" s="470"/>
      <c r="M5" s="471" t="s">
        <v>82</v>
      </c>
      <c r="N5" s="472"/>
      <c r="O5" s="473"/>
      <c r="P5" s="474" t="s">
        <v>82</v>
      </c>
      <c r="Q5" s="475"/>
      <c r="R5" s="476"/>
      <c r="S5" s="440" t="s">
        <v>82</v>
      </c>
      <c r="T5" s="441"/>
      <c r="U5" s="442"/>
      <c r="V5" s="440" t="s">
        <v>82</v>
      </c>
      <c r="W5" s="441"/>
      <c r="X5" s="442"/>
      <c r="Y5" s="440" t="s">
        <v>82</v>
      </c>
      <c r="Z5" s="441"/>
      <c r="AA5" s="442"/>
      <c r="AB5" s="440" t="s">
        <v>82</v>
      </c>
      <c r="AC5" s="441"/>
      <c r="AD5" s="442"/>
      <c r="AE5" s="440" t="s">
        <v>82</v>
      </c>
      <c r="AF5" s="441"/>
      <c r="AG5" s="442"/>
      <c r="AH5" s="440" t="s">
        <v>82</v>
      </c>
      <c r="AI5" s="441"/>
      <c r="AJ5" s="442"/>
      <c r="AK5" s="440" t="s">
        <v>82</v>
      </c>
      <c r="AL5" s="441"/>
      <c r="AM5" s="442"/>
      <c r="AN5" s="440" t="s">
        <v>82</v>
      </c>
      <c r="AO5" s="441"/>
      <c r="AP5" s="442"/>
    </row>
    <row r="6" spans="1:42" s="48" customFormat="1" ht="15" x14ac:dyDescent="0.2">
      <c r="A6" s="449"/>
      <c r="B6" s="450"/>
      <c r="C6" s="450"/>
      <c r="D6" s="49" t="s">
        <v>87</v>
      </c>
      <c r="E6" s="49" t="s">
        <v>88</v>
      </c>
      <c r="F6" s="49" t="s">
        <v>86</v>
      </c>
      <c r="G6" s="50" t="s">
        <v>87</v>
      </c>
      <c r="H6" s="50" t="s">
        <v>88</v>
      </c>
      <c r="I6" s="50" t="s">
        <v>86</v>
      </c>
      <c r="J6" s="51" t="s">
        <v>87</v>
      </c>
      <c r="K6" s="51" t="s">
        <v>88</v>
      </c>
      <c r="L6" s="51" t="s">
        <v>86</v>
      </c>
      <c r="M6" s="52" t="s">
        <v>87</v>
      </c>
      <c r="N6" s="52" t="s">
        <v>88</v>
      </c>
      <c r="O6" s="52" t="s">
        <v>86</v>
      </c>
      <c r="P6" s="53" t="s">
        <v>87</v>
      </c>
      <c r="Q6" s="53" t="s">
        <v>88</v>
      </c>
      <c r="R6" s="53" t="s">
        <v>86</v>
      </c>
      <c r="S6" s="54" t="s">
        <v>87</v>
      </c>
      <c r="T6" s="54" t="s">
        <v>88</v>
      </c>
      <c r="U6" s="54" t="s">
        <v>86</v>
      </c>
      <c r="V6" s="54" t="s">
        <v>87</v>
      </c>
      <c r="W6" s="54" t="s">
        <v>88</v>
      </c>
      <c r="X6" s="54" t="s">
        <v>86</v>
      </c>
      <c r="Y6" s="54" t="s">
        <v>87</v>
      </c>
      <c r="Z6" s="54" t="s">
        <v>88</v>
      </c>
      <c r="AA6" s="54" t="s">
        <v>86</v>
      </c>
      <c r="AB6" s="54" t="s">
        <v>87</v>
      </c>
      <c r="AC6" s="54" t="s">
        <v>88</v>
      </c>
      <c r="AD6" s="54" t="s">
        <v>86</v>
      </c>
      <c r="AE6" s="54" t="s">
        <v>87</v>
      </c>
      <c r="AF6" s="54" t="s">
        <v>88</v>
      </c>
      <c r="AG6" s="54" t="s">
        <v>86</v>
      </c>
      <c r="AH6" s="54" t="s">
        <v>87</v>
      </c>
      <c r="AI6" s="54" t="s">
        <v>88</v>
      </c>
      <c r="AJ6" s="54" t="s">
        <v>86</v>
      </c>
      <c r="AK6" s="54" t="s">
        <v>87</v>
      </c>
      <c r="AL6" s="54" t="s">
        <v>88</v>
      </c>
      <c r="AM6" s="54" t="s">
        <v>86</v>
      </c>
      <c r="AN6" s="54" t="s">
        <v>87</v>
      </c>
      <c r="AO6" s="54" t="s">
        <v>88</v>
      </c>
      <c r="AP6" s="54" t="s">
        <v>86</v>
      </c>
    </row>
    <row r="7" spans="1:42" s="55" customFormat="1" ht="15" x14ac:dyDescent="0.2">
      <c r="A7" s="280">
        <v>1</v>
      </c>
      <c r="B7" s="128">
        <f>A7+1</f>
        <v>2</v>
      </c>
      <c r="C7" s="128">
        <f t="shared" ref="C7:D7" si="0">B7+1</f>
        <v>3</v>
      </c>
      <c r="D7" s="227">
        <f t="shared" si="0"/>
        <v>4</v>
      </c>
      <c r="E7" s="227">
        <f t="shared" ref="E7" si="1">D7+1</f>
        <v>5</v>
      </c>
      <c r="F7" s="227">
        <f t="shared" ref="F7" si="2">E7+1</f>
        <v>6</v>
      </c>
      <c r="G7" s="227">
        <f t="shared" ref="G7" si="3">F7+1</f>
        <v>7</v>
      </c>
      <c r="H7" s="227">
        <f t="shared" ref="H7" si="4">G7+1</f>
        <v>8</v>
      </c>
      <c r="I7" s="227">
        <f t="shared" ref="I7" si="5">H7+1</f>
        <v>9</v>
      </c>
      <c r="J7" s="227">
        <f t="shared" ref="J7" si="6">I7+1</f>
        <v>10</v>
      </c>
      <c r="K7" s="227">
        <f t="shared" ref="K7" si="7">J7+1</f>
        <v>11</v>
      </c>
      <c r="L7" s="227">
        <f t="shared" ref="L7" si="8">K7+1</f>
        <v>12</v>
      </c>
      <c r="M7" s="227">
        <f t="shared" ref="M7" si="9">L7+1</f>
        <v>13</v>
      </c>
      <c r="N7" s="227">
        <f t="shared" ref="N7" si="10">M7+1</f>
        <v>14</v>
      </c>
      <c r="O7" s="227">
        <f t="shared" ref="O7" si="11">N7+1</f>
        <v>15</v>
      </c>
      <c r="P7" s="227">
        <f t="shared" ref="P7" si="12">O7+1</f>
        <v>16</v>
      </c>
      <c r="Q7" s="227">
        <f t="shared" ref="Q7" si="13">P7+1</f>
        <v>17</v>
      </c>
      <c r="R7" s="227">
        <f t="shared" ref="R7" si="14">Q7+1</f>
        <v>18</v>
      </c>
      <c r="S7" s="227">
        <f t="shared" ref="S7" si="15">R7+1</f>
        <v>19</v>
      </c>
      <c r="T7" s="227">
        <f t="shared" ref="T7" si="16">S7+1</f>
        <v>20</v>
      </c>
      <c r="U7" s="227">
        <f t="shared" ref="U7" si="17">T7+1</f>
        <v>21</v>
      </c>
      <c r="V7" s="227">
        <f t="shared" ref="V7" si="18">U7+1</f>
        <v>22</v>
      </c>
      <c r="W7" s="227">
        <f t="shared" ref="W7" si="19">V7+1</f>
        <v>23</v>
      </c>
      <c r="X7" s="227">
        <f t="shared" ref="X7" si="20">W7+1</f>
        <v>24</v>
      </c>
      <c r="Y7" s="227">
        <f t="shared" ref="Y7" si="21">X7+1</f>
        <v>25</v>
      </c>
      <c r="Z7" s="227">
        <f t="shared" ref="Z7" si="22">Y7+1</f>
        <v>26</v>
      </c>
      <c r="AA7" s="227">
        <f t="shared" ref="AA7" si="23">Z7+1</f>
        <v>27</v>
      </c>
      <c r="AB7" s="227">
        <f t="shared" ref="AB7" si="24">AA7+1</f>
        <v>28</v>
      </c>
      <c r="AC7" s="227">
        <f t="shared" ref="AC7" si="25">AB7+1</f>
        <v>29</v>
      </c>
      <c r="AD7" s="227">
        <f t="shared" ref="AD7" si="26">AC7+1</f>
        <v>30</v>
      </c>
      <c r="AE7" s="227">
        <f t="shared" ref="AE7" si="27">AD7+1</f>
        <v>31</v>
      </c>
      <c r="AF7" s="227">
        <f t="shared" ref="AF7" si="28">AE7+1</f>
        <v>32</v>
      </c>
      <c r="AG7" s="227">
        <f t="shared" ref="AG7" si="29">AF7+1</f>
        <v>33</v>
      </c>
      <c r="AH7" s="227">
        <f t="shared" ref="AH7" si="30">AG7+1</f>
        <v>34</v>
      </c>
      <c r="AI7" s="227">
        <f t="shared" ref="AI7" si="31">AH7+1</f>
        <v>35</v>
      </c>
      <c r="AJ7" s="227">
        <f t="shared" ref="AJ7" si="32">AI7+1</f>
        <v>36</v>
      </c>
      <c r="AK7" s="227">
        <f t="shared" ref="AK7" si="33">AJ7+1</f>
        <v>37</v>
      </c>
      <c r="AL7" s="227">
        <f t="shared" ref="AL7" si="34">AK7+1</f>
        <v>38</v>
      </c>
      <c r="AM7" s="227">
        <f t="shared" ref="AM7" si="35">AL7+1</f>
        <v>39</v>
      </c>
      <c r="AN7" s="227">
        <f t="shared" ref="AN7" si="36">AM7+1</f>
        <v>40</v>
      </c>
      <c r="AO7" s="227">
        <f t="shared" ref="AO7" si="37">AN7+1</f>
        <v>41</v>
      </c>
      <c r="AP7" s="227">
        <f t="shared" ref="AP7" si="38">AO7+1</f>
        <v>42</v>
      </c>
    </row>
    <row r="8" spans="1:42" s="55" customFormat="1" ht="28.5" x14ac:dyDescent="0.2">
      <c r="A8" s="176" t="s">
        <v>5</v>
      </c>
      <c r="B8" s="56" t="s">
        <v>89</v>
      </c>
      <c r="C8" s="57" t="s">
        <v>90</v>
      </c>
      <c r="D8" s="58">
        <f t="shared" ref="D8:AP8" si="39">D9+D10</f>
        <v>16563.168000000001</v>
      </c>
      <c r="E8" s="59">
        <f t="shared" si="39"/>
        <v>14979.41</v>
      </c>
      <c r="F8" s="60">
        <f t="shared" si="39"/>
        <v>31542.578000000001</v>
      </c>
      <c r="G8" s="58">
        <f t="shared" si="39"/>
        <v>39293.442000000003</v>
      </c>
      <c r="H8" s="59">
        <f t="shared" si="39"/>
        <v>39944.714</v>
      </c>
      <c r="I8" s="60">
        <f t="shared" si="39"/>
        <v>79238.156000000003</v>
      </c>
      <c r="J8" s="258">
        <f t="shared" si="39"/>
        <v>11865.491</v>
      </c>
      <c r="K8" s="259">
        <f t="shared" si="39"/>
        <v>11793.321</v>
      </c>
      <c r="L8" s="260">
        <f t="shared" si="39"/>
        <v>23658.811999999998</v>
      </c>
      <c r="M8" s="58">
        <f t="shared" si="39"/>
        <v>65119.86</v>
      </c>
      <c r="N8" s="59">
        <f t="shared" si="39"/>
        <v>62148.59</v>
      </c>
      <c r="O8" s="60">
        <f t="shared" si="39"/>
        <v>127268.45</v>
      </c>
      <c r="P8" s="58">
        <f t="shared" si="39"/>
        <v>10888.026</v>
      </c>
      <c r="Q8" s="59">
        <f t="shared" si="39"/>
        <v>10765.546</v>
      </c>
      <c r="R8" s="190">
        <f t="shared" si="39"/>
        <v>21653.572</v>
      </c>
      <c r="S8" s="58">
        <f t="shared" si="39"/>
        <v>7120.1270000000004</v>
      </c>
      <c r="T8" s="59">
        <f t="shared" si="39"/>
        <v>7021.0540000000001</v>
      </c>
      <c r="U8" s="106">
        <f t="shared" si="39"/>
        <v>14141.181</v>
      </c>
      <c r="V8" s="58">
        <f t="shared" si="39"/>
        <v>7811.357</v>
      </c>
      <c r="W8" s="59">
        <f t="shared" si="39"/>
        <v>8683.4459999999999</v>
      </c>
      <c r="X8" s="60">
        <f t="shared" si="39"/>
        <v>16494.803</v>
      </c>
      <c r="Y8" s="58">
        <f t="shared" si="39"/>
        <v>3010.5540000000001</v>
      </c>
      <c r="Z8" s="59">
        <f t="shared" si="39"/>
        <v>2297.453</v>
      </c>
      <c r="AA8" s="60">
        <f t="shared" si="39"/>
        <v>5308.0069999999996</v>
      </c>
      <c r="AB8" s="58">
        <f t="shared" si="39"/>
        <v>22331.203000000001</v>
      </c>
      <c r="AC8" s="59">
        <f t="shared" si="39"/>
        <v>20624.285</v>
      </c>
      <c r="AD8" s="60">
        <f t="shared" si="39"/>
        <v>42955.487999999998</v>
      </c>
      <c r="AE8" s="58">
        <f t="shared" si="39"/>
        <v>18097.37</v>
      </c>
      <c r="AF8" s="59">
        <f t="shared" si="39"/>
        <v>15833.578</v>
      </c>
      <c r="AG8" s="60">
        <f t="shared" si="39"/>
        <v>33930.947999999997</v>
      </c>
      <c r="AH8" s="58">
        <f t="shared" si="39"/>
        <v>21740.508999999998</v>
      </c>
      <c r="AI8" s="59">
        <f t="shared" si="39"/>
        <v>22445.625</v>
      </c>
      <c r="AJ8" s="60">
        <f t="shared" si="39"/>
        <v>44186.133999999998</v>
      </c>
      <c r="AK8" s="58">
        <f t="shared" si="39"/>
        <v>86722.675000000003</v>
      </c>
      <c r="AL8" s="59">
        <f t="shared" si="39"/>
        <v>81643.558000000005</v>
      </c>
      <c r="AM8" s="60">
        <f t="shared" si="39"/>
        <v>168366.23300000001</v>
      </c>
      <c r="AN8" s="58">
        <f t="shared" si="39"/>
        <v>9764.56</v>
      </c>
      <c r="AO8" s="59">
        <f t="shared" si="39"/>
        <v>10046.825999999999</v>
      </c>
      <c r="AP8" s="106">
        <f t="shared" si="39"/>
        <v>19811.385999999999</v>
      </c>
    </row>
    <row r="9" spans="1:42" s="55" customFormat="1" ht="15" x14ac:dyDescent="0.2">
      <c r="A9" s="61" t="s">
        <v>33</v>
      </c>
      <c r="B9" s="62" t="s">
        <v>91</v>
      </c>
      <c r="C9" s="63" t="s">
        <v>90</v>
      </c>
      <c r="D9" s="121">
        <v>16563.168000000001</v>
      </c>
      <c r="E9" s="115">
        <v>14979.41</v>
      </c>
      <c r="F9" s="115">
        <f>D9+E9</f>
        <v>31542.578000000001</v>
      </c>
      <c r="G9" s="121"/>
      <c r="H9" s="115"/>
      <c r="I9" s="115">
        <f>G9+H9</f>
        <v>0</v>
      </c>
      <c r="J9" s="250"/>
      <c r="K9" s="251"/>
      <c r="L9" s="251"/>
      <c r="M9" s="121"/>
      <c r="N9" s="115"/>
      <c r="O9" s="115">
        <f>M9+N9</f>
        <v>0</v>
      </c>
      <c r="P9" s="121"/>
      <c r="Q9" s="115"/>
      <c r="R9" s="191"/>
      <c r="S9" s="121"/>
      <c r="T9" s="115"/>
      <c r="U9" s="119"/>
      <c r="V9" s="121"/>
      <c r="W9" s="115"/>
      <c r="X9" s="115">
        <f>V9+W9</f>
        <v>0</v>
      </c>
      <c r="Y9" s="121">
        <v>3010.5540000000001</v>
      </c>
      <c r="Z9" s="115">
        <v>2297.453</v>
      </c>
      <c r="AA9" s="115">
        <f>Y9+Z9</f>
        <v>5308.0069999999996</v>
      </c>
      <c r="AB9" s="121"/>
      <c r="AC9" s="115"/>
      <c r="AD9" s="115"/>
      <c r="AE9" s="121"/>
      <c r="AF9" s="115"/>
      <c r="AG9" s="115">
        <f>AE9+AF9</f>
        <v>0</v>
      </c>
      <c r="AH9" s="121"/>
      <c r="AI9" s="115"/>
      <c r="AJ9" s="115">
        <f>AH9+AI9</f>
        <v>0</v>
      </c>
      <c r="AK9" s="71"/>
      <c r="AL9" s="72"/>
      <c r="AM9" s="115">
        <f>AK9+AL9</f>
        <v>0</v>
      </c>
      <c r="AN9" s="121">
        <v>9764.56</v>
      </c>
      <c r="AO9" s="115">
        <v>10046.825999999999</v>
      </c>
      <c r="AP9" s="119">
        <f>AN9+AO9</f>
        <v>19811.385999999999</v>
      </c>
    </row>
    <row r="10" spans="1:42" s="55" customFormat="1" ht="15" x14ac:dyDescent="0.2">
      <c r="A10" s="84" t="s">
        <v>34</v>
      </c>
      <c r="B10" s="65" t="s">
        <v>92</v>
      </c>
      <c r="C10" s="66" t="s">
        <v>90</v>
      </c>
      <c r="D10" s="71"/>
      <c r="E10" s="72"/>
      <c r="F10" s="72"/>
      <c r="G10" s="71">
        <v>39293.442000000003</v>
      </c>
      <c r="H10" s="72">
        <v>39944.714</v>
      </c>
      <c r="I10" s="72">
        <f>G10+H10</f>
        <v>79238.156000000003</v>
      </c>
      <c r="J10" s="217">
        <v>11865.491</v>
      </c>
      <c r="K10" s="240">
        <v>11793.321</v>
      </c>
      <c r="L10" s="240">
        <f>J10+K10</f>
        <v>23658.811999999998</v>
      </c>
      <c r="M10" s="71">
        <v>65119.86</v>
      </c>
      <c r="N10" s="72">
        <v>62148.59</v>
      </c>
      <c r="O10" s="72">
        <f>M10+N10</f>
        <v>127268.45</v>
      </c>
      <c r="P10" s="71">
        <v>10888.026</v>
      </c>
      <c r="Q10" s="72">
        <v>10765.546</v>
      </c>
      <c r="R10" s="184">
        <f>P10+Q10</f>
        <v>21653.572</v>
      </c>
      <c r="S10" s="71">
        <v>7120.1270000000004</v>
      </c>
      <c r="T10" s="72">
        <v>7021.0540000000001</v>
      </c>
      <c r="U10" s="108">
        <f>S10+T10</f>
        <v>14141.181</v>
      </c>
      <c r="V10" s="71">
        <v>7811.357</v>
      </c>
      <c r="W10" s="72">
        <v>8683.4459999999999</v>
      </c>
      <c r="X10" s="72">
        <f>V10+W10</f>
        <v>16494.803</v>
      </c>
      <c r="Y10" s="71"/>
      <c r="Z10" s="72"/>
      <c r="AA10" s="72">
        <f>Y10+Z10</f>
        <v>0</v>
      </c>
      <c r="AB10" s="71">
        <v>22331.203000000001</v>
      </c>
      <c r="AC10" s="72">
        <v>20624.285</v>
      </c>
      <c r="AD10" s="72">
        <f>AB10+AC10</f>
        <v>42955.487999999998</v>
      </c>
      <c r="AE10" s="71">
        <v>18097.37</v>
      </c>
      <c r="AF10" s="72">
        <v>15833.578</v>
      </c>
      <c r="AG10" s="72">
        <f>AE10+AF10</f>
        <v>33930.947999999997</v>
      </c>
      <c r="AH10" s="71">
        <v>21740.508999999998</v>
      </c>
      <c r="AI10" s="72">
        <v>22445.625</v>
      </c>
      <c r="AJ10" s="72">
        <f>AH10+AI10</f>
        <v>44186.133999999998</v>
      </c>
      <c r="AK10" s="122">
        <v>86722.675000000003</v>
      </c>
      <c r="AL10" s="123">
        <v>81643.558000000005</v>
      </c>
      <c r="AM10" s="72">
        <f>AK10+AL10</f>
        <v>168366.23300000001</v>
      </c>
      <c r="AN10" s="71"/>
      <c r="AO10" s="72"/>
      <c r="AP10" s="108">
        <f>AN10+AO10</f>
        <v>0</v>
      </c>
    </row>
    <row r="11" spans="1:42" s="55" customFormat="1" ht="28.5" x14ac:dyDescent="0.2">
      <c r="A11" s="85" t="s">
        <v>6</v>
      </c>
      <c r="B11" s="68" t="s">
        <v>93</v>
      </c>
      <c r="C11" s="66" t="s">
        <v>90</v>
      </c>
      <c r="D11" s="114"/>
      <c r="E11" s="116"/>
      <c r="F11" s="69"/>
      <c r="G11" s="114">
        <v>96788.880999999994</v>
      </c>
      <c r="H11" s="116">
        <v>93988.819000000003</v>
      </c>
      <c r="I11" s="69">
        <f>G11+H11</f>
        <v>190777.7</v>
      </c>
      <c r="J11" s="237"/>
      <c r="K11" s="238"/>
      <c r="L11" s="239"/>
      <c r="M11" s="114"/>
      <c r="N11" s="116"/>
      <c r="O11" s="69"/>
      <c r="P11" s="114"/>
      <c r="Q11" s="116"/>
      <c r="R11" s="192"/>
      <c r="S11" s="114"/>
      <c r="T11" s="116"/>
      <c r="U11" s="109"/>
      <c r="V11" s="114"/>
      <c r="W11" s="116"/>
      <c r="X11" s="69"/>
      <c r="Y11" s="114"/>
      <c r="Z11" s="116"/>
      <c r="AA11" s="69"/>
      <c r="AB11" s="114"/>
      <c r="AC11" s="116"/>
      <c r="AD11" s="69"/>
      <c r="AE11" s="114"/>
      <c r="AF11" s="116"/>
      <c r="AG11" s="69"/>
      <c r="AH11" s="114"/>
      <c r="AI11" s="116"/>
      <c r="AJ11" s="69"/>
      <c r="AK11" s="114"/>
      <c r="AL11" s="116"/>
      <c r="AM11" s="69"/>
      <c r="AN11" s="114"/>
      <c r="AO11" s="116"/>
      <c r="AP11" s="109"/>
    </row>
    <row r="12" spans="1:42" s="55" customFormat="1" ht="15" x14ac:dyDescent="0.2">
      <c r="A12" s="84" t="s">
        <v>7</v>
      </c>
      <c r="B12" s="70" t="s">
        <v>94</v>
      </c>
      <c r="C12" s="66" t="s">
        <v>90</v>
      </c>
      <c r="D12" s="71"/>
      <c r="E12" s="72"/>
      <c r="F12" s="67"/>
      <c r="G12" s="71">
        <v>104.02500000000001</v>
      </c>
      <c r="H12" s="72">
        <v>105.748</v>
      </c>
      <c r="I12" s="67">
        <f>G12+H12</f>
        <v>209.77300000000002</v>
      </c>
      <c r="J12" s="217">
        <v>3.2080000000000002</v>
      </c>
      <c r="K12" s="240">
        <v>3.262</v>
      </c>
      <c r="L12" s="241">
        <f>J12+K12</f>
        <v>6.4700000000000006</v>
      </c>
      <c r="M12" s="71">
        <v>52.692999999999998</v>
      </c>
      <c r="N12" s="72">
        <v>53.566000000000003</v>
      </c>
      <c r="O12" s="67">
        <f>M12+N12</f>
        <v>106.259</v>
      </c>
      <c r="P12" s="71"/>
      <c r="Q12" s="72"/>
      <c r="R12" s="193"/>
      <c r="S12" s="71"/>
      <c r="T12" s="72"/>
      <c r="U12" s="108">
        <f>S12+T12</f>
        <v>0</v>
      </c>
      <c r="V12" s="71">
        <v>1198.867</v>
      </c>
      <c r="W12" s="72">
        <v>1218.7380000000001</v>
      </c>
      <c r="X12" s="67">
        <f>V12+W12</f>
        <v>2417.605</v>
      </c>
      <c r="Y12" s="71"/>
      <c r="Z12" s="72"/>
      <c r="AA12" s="67">
        <f>Y12+Z12</f>
        <v>0</v>
      </c>
      <c r="AB12" s="71">
        <v>36.200000000000003</v>
      </c>
      <c r="AC12" s="72">
        <v>36.799999999999997</v>
      </c>
      <c r="AD12" s="67">
        <f>AB12+AC12</f>
        <v>73</v>
      </c>
      <c r="AE12" s="71"/>
      <c r="AF12" s="72"/>
      <c r="AG12" s="67">
        <f>AE12+AF12</f>
        <v>0</v>
      </c>
      <c r="AH12" s="71"/>
      <c r="AI12" s="72"/>
      <c r="AJ12" s="67">
        <f>AH12+AI12</f>
        <v>0</v>
      </c>
      <c r="AK12" s="71">
        <v>376.04500000000002</v>
      </c>
      <c r="AL12" s="72">
        <v>382.27800000000002</v>
      </c>
      <c r="AM12" s="67">
        <f>AK12+AL12</f>
        <v>758.32300000000009</v>
      </c>
      <c r="AN12" s="71"/>
      <c r="AO12" s="72"/>
      <c r="AP12" s="108">
        <f>AN12+AO12</f>
        <v>0</v>
      </c>
    </row>
    <row r="13" spans="1:42" s="55" customFormat="1" ht="15" x14ac:dyDescent="0.2">
      <c r="A13" s="84" t="s">
        <v>8</v>
      </c>
      <c r="B13" s="70" t="s">
        <v>95</v>
      </c>
      <c r="C13" s="66" t="s">
        <v>90</v>
      </c>
      <c r="D13" s="71">
        <f t="shared" ref="D13:F13" si="40">D8+D11-D12</f>
        <v>16563.168000000001</v>
      </c>
      <c r="E13" s="72">
        <f t="shared" si="40"/>
        <v>14979.41</v>
      </c>
      <c r="F13" s="64">
        <f t="shared" si="40"/>
        <v>31542.578000000001</v>
      </c>
      <c r="G13" s="71">
        <f>G8+G11-G12</f>
        <v>135978.29800000001</v>
      </c>
      <c r="H13" s="72">
        <f>H8+H11-H12</f>
        <v>133827.785</v>
      </c>
      <c r="I13" s="64">
        <f t="shared" ref="I13:AP13" si="41">I8+I11-I12</f>
        <v>269806.08300000004</v>
      </c>
      <c r="J13" s="217">
        <f t="shared" si="41"/>
        <v>11862.282999999999</v>
      </c>
      <c r="K13" s="240">
        <f t="shared" si="41"/>
        <v>11790.058999999999</v>
      </c>
      <c r="L13" s="242">
        <f t="shared" si="41"/>
        <v>23652.341999999997</v>
      </c>
      <c r="M13" s="71">
        <f t="shared" si="41"/>
        <v>65067.167000000001</v>
      </c>
      <c r="N13" s="72">
        <f t="shared" si="41"/>
        <v>62095.023999999998</v>
      </c>
      <c r="O13" s="64">
        <f t="shared" si="41"/>
        <v>127162.19099999999</v>
      </c>
      <c r="P13" s="71">
        <f t="shared" si="41"/>
        <v>10888.026</v>
      </c>
      <c r="Q13" s="72">
        <f t="shared" si="41"/>
        <v>10765.546</v>
      </c>
      <c r="R13" s="194">
        <f t="shared" si="41"/>
        <v>21653.572</v>
      </c>
      <c r="S13" s="71">
        <f t="shared" si="41"/>
        <v>7120.1270000000004</v>
      </c>
      <c r="T13" s="72">
        <f t="shared" si="41"/>
        <v>7021.0540000000001</v>
      </c>
      <c r="U13" s="107">
        <f t="shared" si="41"/>
        <v>14141.181</v>
      </c>
      <c r="V13" s="71">
        <f t="shared" si="41"/>
        <v>6612.49</v>
      </c>
      <c r="W13" s="72">
        <f t="shared" si="41"/>
        <v>7464.7079999999996</v>
      </c>
      <c r="X13" s="64">
        <f t="shared" si="41"/>
        <v>14077.198</v>
      </c>
      <c r="Y13" s="71">
        <f t="shared" si="41"/>
        <v>3010.5540000000001</v>
      </c>
      <c r="Z13" s="72">
        <f t="shared" si="41"/>
        <v>2297.453</v>
      </c>
      <c r="AA13" s="64">
        <f t="shared" si="41"/>
        <v>5308.0069999999996</v>
      </c>
      <c r="AB13" s="71">
        <f t="shared" si="41"/>
        <v>22295.003000000001</v>
      </c>
      <c r="AC13" s="72">
        <f t="shared" si="41"/>
        <v>20587.485000000001</v>
      </c>
      <c r="AD13" s="64">
        <f t="shared" si="41"/>
        <v>42882.487999999998</v>
      </c>
      <c r="AE13" s="71">
        <f t="shared" si="41"/>
        <v>18097.37</v>
      </c>
      <c r="AF13" s="72">
        <f t="shared" si="41"/>
        <v>15833.578</v>
      </c>
      <c r="AG13" s="64">
        <f t="shared" si="41"/>
        <v>33930.947999999997</v>
      </c>
      <c r="AH13" s="71">
        <f t="shared" si="41"/>
        <v>21740.508999999998</v>
      </c>
      <c r="AI13" s="72">
        <f t="shared" si="41"/>
        <v>22445.625</v>
      </c>
      <c r="AJ13" s="64">
        <f t="shared" si="41"/>
        <v>44186.133999999998</v>
      </c>
      <c r="AK13" s="71">
        <f t="shared" si="41"/>
        <v>86346.63</v>
      </c>
      <c r="AL13" s="72">
        <f t="shared" si="41"/>
        <v>81261.279999999999</v>
      </c>
      <c r="AM13" s="64">
        <f t="shared" si="41"/>
        <v>167607.91</v>
      </c>
      <c r="AN13" s="71">
        <f t="shared" si="41"/>
        <v>9764.56</v>
      </c>
      <c r="AO13" s="72">
        <f t="shared" si="41"/>
        <v>10046.825999999999</v>
      </c>
      <c r="AP13" s="107">
        <f t="shared" si="41"/>
        <v>19811.385999999999</v>
      </c>
    </row>
    <row r="14" spans="1:42" s="55" customFormat="1" ht="15" x14ac:dyDescent="0.2">
      <c r="A14" s="84" t="s">
        <v>9</v>
      </c>
      <c r="B14" s="70" t="s">
        <v>96</v>
      </c>
      <c r="C14" s="66" t="s">
        <v>90</v>
      </c>
      <c r="D14" s="71">
        <f t="shared" ref="D14:AP14" si="42">D15+D16</f>
        <v>1215.7279999999998</v>
      </c>
      <c r="E14" s="72">
        <f t="shared" si="42"/>
        <v>1197.5940000000001</v>
      </c>
      <c r="F14" s="67">
        <f t="shared" si="42"/>
        <v>2413.3220000000001</v>
      </c>
      <c r="G14" s="71">
        <f t="shared" si="42"/>
        <v>4470.3029999999999</v>
      </c>
      <c r="H14" s="72">
        <f>H15+H16</f>
        <v>4560.107</v>
      </c>
      <c r="I14" s="67">
        <f t="shared" si="42"/>
        <v>9030.41</v>
      </c>
      <c r="J14" s="217">
        <f t="shared" si="42"/>
        <v>440.423</v>
      </c>
      <c r="K14" s="240">
        <f t="shared" si="42"/>
        <v>447.72199999999998</v>
      </c>
      <c r="L14" s="241">
        <f t="shared" si="42"/>
        <v>888.14499999999998</v>
      </c>
      <c r="M14" s="71">
        <f t="shared" si="42"/>
        <v>1826.8239999999998</v>
      </c>
      <c r="N14" s="72">
        <f t="shared" si="42"/>
        <v>2204.2170000000001</v>
      </c>
      <c r="O14" s="67">
        <f t="shared" si="42"/>
        <v>4031.0410000000002</v>
      </c>
      <c r="P14" s="71">
        <f t="shared" si="42"/>
        <v>669.90600000000006</v>
      </c>
      <c r="Q14" s="72">
        <f t="shared" si="42"/>
        <v>669.58399999999995</v>
      </c>
      <c r="R14" s="193">
        <f t="shared" si="42"/>
        <v>1339.49</v>
      </c>
      <c r="S14" s="71">
        <f t="shared" si="42"/>
        <v>173.548</v>
      </c>
      <c r="T14" s="72">
        <f t="shared" si="42"/>
        <v>176.447</v>
      </c>
      <c r="U14" s="108">
        <f t="shared" si="42"/>
        <v>349.995</v>
      </c>
      <c r="V14" s="71">
        <f t="shared" si="42"/>
        <v>768.77600000000007</v>
      </c>
      <c r="W14" s="72">
        <f t="shared" si="42"/>
        <v>809.96600000000001</v>
      </c>
      <c r="X14" s="67">
        <f t="shared" si="42"/>
        <v>1578.7420000000002</v>
      </c>
      <c r="Y14" s="71">
        <f t="shared" si="42"/>
        <v>445.84699999999998</v>
      </c>
      <c r="Z14" s="72">
        <f t="shared" si="42"/>
        <v>488.78700000000003</v>
      </c>
      <c r="AA14" s="67">
        <f t="shared" si="42"/>
        <v>934.63400000000001</v>
      </c>
      <c r="AB14" s="71">
        <f t="shared" si="42"/>
        <v>1864.277</v>
      </c>
      <c r="AC14" s="72">
        <f t="shared" si="42"/>
        <v>2309.047</v>
      </c>
      <c r="AD14" s="67">
        <f t="shared" si="42"/>
        <v>4173.3240000000005</v>
      </c>
      <c r="AE14" s="71">
        <f t="shared" si="42"/>
        <v>1399.6849999999999</v>
      </c>
      <c r="AF14" s="72">
        <f t="shared" si="42"/>
        <v>1730.7839999999999</v>
      </c>
      <c r="AG14" s="67">
        <f t="shared" si="42"/>
        <v>3130.4690000000001</v>
      </c>
      <c r="AH14" s="71">
        <f t="shared" si="42"/>
        <v>5472.5879999999997</v>
      </c>
      <c r="AI14" s="72">
        <f t="shared" si="42"/>
        <v>5615.48</v>
      </c>
      <c r="AJ14" s="67">
        <f t="shared" si="42"/>
        <v>11088.067999999999</v>
      </c>
      <c r="AK14" s="71">
        <f t="shared" si="42"/>
        <v>4095.9299999999994</v>
      </c>
      <c r="AL14" s="72">
        <f t="shared" si="42"/>
        <v>4566.0470000000005</v>
      </c>
      <c r="AM14" s="67">
        <f t="shared" si="42"/>
        <v>8661.976999999999</v>
      </c>
      <c r="AN14" s="71">
        <f t="shared" si="42"/>
        <v>2380.3229999999999</v>
      </c>
      <c r="AO14" s="72">
        <f t="shared" si="42"/>
        <v>2433.5280000000002</v>
      </c>
      <c r="AP14" s="108">
        <f t="shared" si="42"/>
        <v>4813.8510000000006</v>
      </c>
    </row>
    <row r="15" spans="1:42" s="55" customFormat="1" ht="15" x14ac:dyDescent="0.2">
      <c r="A15" s="94" t="s">
        <v>97</v>
      </c>
      <c r="B15" s="73" t="s">
        <v>98</v>
      </c>
      <c r="C15" s="74" t="s">
        <v>90</v>
      </c>
      <c r="D15" s="122">
        <f>1196.743+18.985</f>
        <v>1215.7279999999998</v>
      </c>
      <c r="E15" s="123">
        <f>1216.579-18.985</f>
        <v>1197.5940000000001</v>
      </c>
      <c r="F15" s="67">
        <f>D15+E15</f>
        <v>2413.3220000000001</v>
      </c>
      <c r="G15" s="122">
        <f>4478.094-7.791</f>
        <v>4470.3029999999999</v>
      </c>
      <c r="H15" s="123">
        <f>4552.316+7.791</f>
        <v>4560.107</v>
      </c>
      <c r="I15" s="67">
        <f>G15+H15</f>
        <v>9030.41</v>
      </c>
      <c r="J15" s="243">
        <v>440.423</v>
      </c>
      <c r="K15" s="244">
        <v>447.72199999999998</v>
      </c>
      <c r="L15" s="241">
        <f>J15+K15</f>
        <v>888.14499999999998</v>
      </c>
      <c r="M15" s="122">
        <f>1998.955-172.131</f>
        <v>1826.8239999999998</v>
      </c>
      <c r="N15" s="123">
        <f>2032.086+172.131</f>
        <v>2204.2170000000001</v>
      </c>
      <c r="O15" s="67">
        <f>M15+N15</f>
        <v>4031.0410000000002</v>
      </c>
      <c r="P15" s="122">
        <f>664.24+5.666</f>
        <v>669.90600000000006</v>
      </c>
      <c r="Q15" s="123">
        <f>675.25-5.666</f>
        <v>669.58399999999995</v>
      </c>
      <c r="R15" s="193">
        <f>P15+Q15</f>
        <v>1339.49</v>
      </c>
      <c r="S15" s="122">
        <f>173.559-0.011</f>
        <v>173.548</v>
      </c>
      <c r="T15" s="123">
        <f>176.435+0.012</f>
        <v>176.447</v>
      </c>
      <c r="U15" s="108">
        <f>S15+T15</f>
        <v>349.995</v>
      </c>
      <c r="V15" s="122">
        <f>782.883-14.107</f>
        <v>768.77600000000007</v>
      </c>
      <c r="W15" s="123">
        <f>795.859+14.107</f>
        <v>809.96600000000001</v>
      </c>
      <c r="X15" s="67">
        <f>V15+W15</f>
        <v>1578.7420000000002</v>
      </c>
      <c r="Y15" s="122">
        <f>463.476-17.629</f>
        <v>445.84699999999998</v>
      </c>
      <c r="Z15" s="123">
        <f>471.158+17.629</f>
        <v>488.78700000000003</v>
      </c>
      <c r="AA15" s="67">
        <f>Y15+Z15</f>
        <v>934.63400000000001</v>
      </c>
      <c r="AB15" s="122">
        <f>2069.511-205.234</f>
        <v>1864.277</v>
      </c>
      <c r="AC15" s="123">
        <f>2103.813+205.234</f>
        <v>2309.047</v>
      </c>
      <c r="AD15" s="67">
        <f>AB15+AC15</f>
        <v>4173.3240000000005</v>
      </c>
      <c r="AE15" s="122">
        <f>1552.369-152.684</f>
        <v>1399.6849999999999</v>
      </c>
      <c r="AF15" s="123">
        <f>1578.1+152.684</f>
        <v>1730.7839999999999</v>
      </c>
      <c r="AG15" s="67">
        <f>AE15+AF15</f>
        <v>3130.4690000000001</v>
      </c>
      <c r="AH15" s="122">
        <f>5498.467-25.879</f>
        <v>5472.5879999999997</v>
      </c>
      <c r="AI15" s="123">
        <f>5589.601+25.879</f>
        <v>5615.48</v>
      </c>
      <c r="AJ15" s="67">
        <f>AH15+AI15</f>
        <v>11088.067999999999</v>
      </c>
      <c r="AK15" s="122">
        <f>4295.391-199.461</f>
        <v>4095.9299999999994</v>
      </c>
      <c r="AL15" s="123">
        <f>4366.586+199.461</f>
        <v>4566.0470000000005</v>
      </c>
      <c r="AM15" s="67">
        <f>AK15+AL15</f>
        <v>8661.976999999999</v>
      </c>
      <c r="AN15" s="122">
        <f>2387.143-6.82</f>
        <v>2380.3229999999999</v>
      </c>
      <c r="AO15" s="123">
        <f>2426.708+6.82</f>
        <v>2433.5280000000002</v>
      </c>
      <c r="AP15" s="108">
        <f>AN15+AO15</f>
        <v>4813.8510000000006</v>
      </c>
    </row>
    <row r="16" spans="1:42" s="55" customFormat="1" ht="15" x14ac:dyDescent="0.2">
      <c r="A16" s="84" t="s">
        <v>99</v>
      </c>
      <c r="B16" s="73" t="s">
        <v>100</v>
      </c>
      <c r="C16" s="66" t="s">
        <v>90</v>
      </c>
      <c r="D16" s="71"/>
      <c r="E16" s="72"/>
      <c r="F16" s="67"/>
      <c r="G16" s="71"/>
      <c r="H16" s="72"/>
      <c r="I16" s="67">
        <f>G16+H16</f>
        <v>0</v>
      </c>
      <c r="J16" s="217"/>
      <c r="K16" s="240"/>
      <c r="L16" s="241">
        <f>J16+K16</f>
        <v>0</v>
      </c>
      <c r="M16" s="71"/>
      <c r="N16" s="72"/>
      <c r="O16" s="67">
        <f>M16+N16</f>
        <v>0</v>
      </c>
      <c r="P16" s="71"/>
      <c r="Q16" s="72"/>
      <c r="R16" s="193">
        <f>P16+Q16</f>
        <v>0</v>
      </c>
      <c r="S16" s="71"/>
      <c r="T16" s="72"/>
      <c r="U16" s="108">
        <f>S16+T16</f>
        <v>0</v>
      </c>
      <c r="V16" s="71"/>
      <c r="W16" s="72"/>
      <c r="X16" s="67">
        <f>V16+W16</f>
        <v>0</v>
      </c>
      <c r="Y16" s="71"/>
      <c r="Z16" s="72"/>
      <c r="AA16" s="67">
        <f>Y16+Z16</f>
        <v>0</v>
      </c>
      <c r="AB16" s="71"/>
      <c r="AC16" s="72"/>
      <c r="AD16" s="67">
        <f>AB16+AC16</f>
        <v>0</v>
      </c>
      <c r="AE16" s="71"/>
      <c r="AF16" s="72"/>
      <c r="AG16" s="67">
        <f>AE16+AF16</f>
        <v>0</v>
      </c>
      <c r="AH16" s="71"/>
      <c r="AI16" s="72"/>
      <c r="AJ16" s="67">
        <f>AH16+AI16</f>
        <v>0</v>
      </c>
      <c r="AK16" s="71"/>
      <c r="AL16" s="72"/>
      <c r="AM16" s="67">
        <f>AK16+AL16</f>
        <v>0</v>
      </c>
      <c r="AN16" s="71"/>
      <c r="AO16" s="72"/>
      <c r="AP16" s="108">
        <f>AN16+AO16</f>
        <v>0</v>
      </c>
    </row>
    <row r="17" spans="1:42" s="80" customFormat="1" ht="19.5" customHeight="1" x14ac:dyDescent="0.2">
      <c r="A17" s="85" t="s">
        <v>10</v>
      </c>
      <c r="B17" s="76" t="s">
        <v>101</v>
      </c>
      <c r="C17" s="77" t="s">
        <v>90</v>
      </c>
      <c r="D17" s="78">
        <f t="shared" ref="D17:AP17" si="43">D13-D14</f>
        <v>15347.440000000002</v>
      </c>
      <c r="E17" s="79">
        <f t="shared" si="43"/>
        <v>13781.815999999999</v>
      </c>
      <c r="F17" s="69">
        <f t="shared" si="43"/>
        <v>29129.256000000001</v>
      </c>
      <c r="G17" s="78">
        <f t="shared" si="43"/>
        <v>131507.995</v>
      </c>
      <c r="H17" s="79">
        <f t="shared" si="43"/>
        <v>129267.678</v>
      </c>
      <c r="I17" s="69">
        <f t="shared" si="43"/>
        <v>260775.67300000004</v>
      </c>
      <c r="J17" s="245">
        <f t="shared" si="43"/>
        <v>11421.859999999999</v>
      </c>
      <c r="K17" s="246">
        <f t="shared" si="43"/>
        <v>11342.337</v>
      </c>
      <c r="L17" s="239">
        <f t="shared" si="43"/>
        <v>22764.196999999996</v>
      </c>
      <c r="M17" s="78">
        <f t="shared" si="43"/>
        <v>63240.343000000001</v>
      </c>
      <c r="N17" s="79">
        <f t="shared" si="43"/>
        <v>59890.807000000001</v>
      </c>
      <c r="O17" s="69">
        <f t="shared" si="43"/>
        <v>123131.15</v>
      </c>
      <c r="P17" s="78">
        <f t="shared" si="43"/>
        <v>10218.119999999999</v>
      </c>
      <c r="Q17" s="79">
        <f t="shared" si="43"/>
        <v>10095.962</v>
      </c>
      <c r="R17" s="69">
        <f t="shared" si="43"/>
        <v>20314.081999999999</v>
      </c>
      <c r="S17" s="78">
        <f t="shared" si="43"/>
        <v>6946.5790000000006</v>
      </c>
      <c r="T17" s="79">
        <f t="shared" si="43"/>
        <v>6844.607</v>
      </c>
      <c r="U17" s="109">
        <f t="shared" si="43"/>
        <v>13791.186</v>
      </c>
      <c r="V17" s="78">
        <f t="shared" si="43"/>
        <v>5843.7139999999999</v>
      </c>
      <c r="W17" s="79">
        <f t="shared" si="43"/>
        <v>6654.7419999999993</v>
      </c>
      <c r="X17" s="69">
        <f t="shared" si="43"/>
        <v>12498.456</v>
      </c>
      <c r="Y17" s="78">
        <f t="shared" si="43"/>
        <v>2564.7070000000003</v>
      </c>
      <c r="Z17" s="79">
        <f t="shared" si="43"/>
        <v>1808.6659999999999</v>
      </c>
      <c r="AA17" s="69">
        <f t="shared" si="43"/>
        <v>4373.3729999999996</v>
      </c>
      <c r="AB17" s="78">
        <f t="shared" si="43"/>
        <v>20430.726000000002</v>
      </c>
      <c r="AC17" s="79">
        <f t="shared" si="43"/>
        <v>18278.438000000002</v>
      </c>
      <c r="AD17" s="69">
        <f t="shared" si="43"/>
        <v>38709.163999999997</v>
      </c>
      <c r="AE17" s="78">
        <f t="shared" si="43"/>
        <v>16697.684999999998</v>
      </c>
      <c r="AF17" s="79">
        <f t="shared" si="43"/>
        <v>14102.794</v>
      </c>
      <c r="AG17" s="69">
        <f t="shared" si="43"/>
        <v>30800.478999999996</v>
      </c>
      <c r="AH17" s="78">
        <f t="shared" si="43"/>
        <v>16267.920999999998</v>
      </c>
      <c r="AI17" s="79">
        <f t="shared" si="43"/>
        <v>16830.145</v>
      </c>
      <c r="AJ17" s="69">
        <f t="shared" si="43"/>
        <v>33098.065999999999</v>
      </c>
      <c r="AK17" s="78">
        <f t="shared" si="43"/>
        <v>82250.700000000012</v>
      </c>
      <c r="AL17" s="79">
        <f t="shared" si="43"/>
        <v>76695.232999999993</v>
      </c>
      <c r="AM17" s="69">
        <f t="shared" si="43"/>
        <v>158945.93300000002</v>
      </c>
      <c r="AN17" s="78">
        <f t="shared" si="43"/>
        <v>7384.2369999999992</v>
      </c>
      <c r="AO17" s="79">
        <f t="shared" si="43"/>
        <v>7613.2979999999989</v>
      </c>
      <c r="AP17" s="109">
        <f t="shared" si="43"/>
        <v>14997.534999999998</v>
      </c>
    </row>
    <row r="18" spans="1:42" s="55" customFormat="1" ht="15" x14ac:dyDescent="0.2">
      <c r="A18" s="61" t="s">
        <v>102</v>
      </c>
      <c r="B18" s="70" t="s">
        <v>103</v>
      </c>
      <c r="C18" s="66" t="s">
        <v>90</v>
      </c>
      <c r="D18" s="71">
        <f t="shared" ref="D18:AP18" si="44">D19+D20+D21</f>
        <v>1206.8399999999999</v>
      </c>
      <c r="E18" s="72">
        <f t="shared" si="44"/>
        <v>1226.8429999999998</v>
      </c>
      <c r="F18" s="64">
        <f t="shared" si="44"/>
        <v>2433.683</v>
      </c>
      <c r="G18" s="71">
        <f t="shared" si="44"/>
        <v>53683.053</v>
      </c>
      <c r="H18" s="72">
        <f t="shared" si="44"/>
        <v>54572.828999999998</v>
      </c>
      <c r="I18" s="64">
        <f t="shared" si="44"/>
        <v>108255.882</v>
      </c>
      <c r="J18" s="217">
        <f t="shared" si="44"/>
        <v>6258.5329999999994</v>
      </c>
      <c r="K18" s="240">
        <f t="shared" si="44"/>
        <v>6362.2669999999998</v>
      </c>
      <c r="L18" s="242">
        <f t="shared" si="44"/>
        <v>12620.800000000001</v>
      </c>
      <c r="M18" s="71">
        <f t="shared" si="44"/>
        <v>32919.597999999998</v>
      </c>
      <c r="N18" s="72">
        <f t="shared" si="44"/>
        <v>33465.227000000006</v>
      </c>
      <c r="O18" s="64">
        <f t="shared" si="44"/>
        <v>66384.825000000012</v>
      </c>
      <c r="P18" s="71">
        <f t="shared" si="44"/>
        <v>1578.22</v>
      </c>
      <c r="Q18" s="72">
        <f t="shared" si="44"/>
        <v>1604.38</v>
      </c>
      <c r="R18" s="64">
        <f t="shared" si="44"/>
        <v>3182.6</v>
      </c>
      <c r="S18" s="71">
        <f t="shared" si="44"/>
        <v>1438.479</v>
      </c>
      <c r="T18" s="72">
        <f t="shared" si="44"/>
        <v>1462.3199999999997</v>
      </c>
      <c r="U18" s="107">
        <f t="shared" si="44"/>
        <v>2900.799</v>
      </c>
      <c r="V18" s="71">
        <f t="shared" si="44"/>
        <v>205.59616438356161</v>
      </c>
      <c r="W18" s="72">
        <f t="shared" si="44"/>
        <v>209.00383561643835</v>
      </c>
      <c r="X18" s="64">
        <f t="shared" si="44"/>
        <v>414.59999999999997</v>
      </c>
      <c r="Y18" s="71">
        <f t="shared" si="44"/>
        <v>373.20699999999999</v>
      </c>
      <c r="Z18" s="72">
        <f t="shared" si="44"/>
        <v>379.39300000000003</v>
      </c>
      <c r="AA18" s="64">
        <f t="shared" si="44"/>
        <v>752.6</v>
      </c>
      <c r="AB18" s="71">
        <f t="shared" si="44"/>
        <v>705.80099999999993</v>
      </c>
      <c r="AC18" s="72">
        <f t="shared" si="44"/>
        <v>717.49900000000002</v>
      </c>
      <c r="AD18" s="64">
        <f t="shared" si="44"/>
        <v>1423.3</v>
      </c>
      <c r="AE18" s="71">
        <f t="shared" si="44"/>
        <v>2590.1849999999999</v>
      </c>
      <c r="AF18" s="72">
        <f t="shared" si="44"/>
        <v>2633.1149999999998</v>
      </c>
      <c r="AG18" s="64">
        <f t="shared" si="44"/>
        <v>5223.3</v>
      </c>
      <c r="AH18" s="71">
        <f t="shared" si="44"/>
        <v>2834.3110000000001</v>
      </c>
      <c r="AI18" s="72">
        <f t="shared" si="44"/>
        <v>2881.2889999999998</v>
      </c>
      <c r="AJ18" s="64">
        <f t="shared" si="44"/>
        <v>5715.6</v>
      </c>
      <c r="AK18" s="71">
        <f t="shared" si="44"/>
        <v>39852.183000000005</v>
      </c>
      <c r="AL18" s="72">
        <f t="shared" si="44"/>
        <v>40512.717000000004</v>
      </c>
      <c r="AM18" s="64">
        <f t="shared" si="44"/>
        <v>80364.900000000009</v>
      </c>
      <c r="AN18" s="71">
        <f t="shared" si="44"/>
        <v>4690.4889999999996</v>
      </c>
      <c r="AO18" s="72">
        <f t="shared" si="44"/>
        <v>4768.2330000000002</v>
      </c>
      <c r="AP18" s="107">
        <f t="shared" si="44"/>
        <v>9458.7219999999998</v>
      </c>
    </row>
    <row r="19" spans="1:42" s="55" customFormat="1" ht="15" x14ac:dyDescent="0.2">
      <c r="A19" s="84" t="s">
        <v>104</v>
      </c>
      <c r="B19" s="83" t="s">
        <v>105</v>
      </c>
      <c r="C19" s="74" t="s">
        <v>90</v>
      </c>
      <c r="D19" s="122">
        <v>24.646000000000001</v>
      </c>
      <c r="E19" s="123">
        <v>25.053999999999998</v>
      </c>
      <c r="F19" s="67">
        <f>D19+E19</f>
        <v>49.7</v>
      </c>
      <c r="G19" s="122">
        <v>30341.232</v>
      </c>
      <c r="H19" s="123">
        <v>30844.125</v>
      </c>
      <c r="I19" s="67">
        <f>G19+H19</f>
        <v>61185.357000000004</v>
      </c>
      <c r="J19" s="243">
        <v>2475.8319999999999</v>
      </c>
      <c r="K19" s="244">
        <v>2516.8679999999999</v>
      </c>
      <c r="L19" s="241">
        <f>J19+K19</f>
        <v>4992.7</v>
      </c>
      <c r="M19" s="122">
        <v>23629.972000000002</v>
      </c>
      <c r="N19" s="123">
        <v>24021.628000000001</v>
      </c>
      <c r="O19" s="67">
        <f>M19+N19</f>
        <v>47651.600000000006</v>
      </c>
      <c r="P19" s="122">
        <v>696.23</v>
      </c>
      <c r="Q19" s="123">
        <v>707.77</v>
      </c>
      <c r="R19" s="67">
        <f>P19+Q19</f>
        <v>1404</v>
      </c>
      <c r="S19" s="122">
        <v>1124.2829999999999</v>
      </c>
      <c r="T19" s="123">
        <v>1142.9169999999999</v>
      </c>
      <c r="U19" s="108">
        <f>S19+T19</f>
        <v>2267.1999999999998</v>
      </c>
      <c r="V19" s="122"/>
      <c r="W19" s="123"/>
      <c r="X19" s="67">
        <f>V19+W19</f>
        <v>0</v>
      </c>
      <c r="Y19" s="122"/>
      <c r="Z19" s="123"/>
      <c r="AA19" s="67">
        <f>Y19+Z19</f>
        <v>0</v>
      </c>
      <c r="AB19" s="122"/>
      <c r="AC19" s="123"/>
      <c r="AD19" s="67">
        <f>AB19+AC19</f>
        <v>0</v>
      </c>
      <c r="AE19" s="122">
        <v>2006.72</v>
      </c>
      <c r="AF19" s="123">
        <v>2039.98</v>
      </c>
      <c r="AG19" s="67">
        <f>AE19+AF19</f>
        <v>4046.7</v>
      </c>
      <c r="AH19" s="122"/>
      <c r="AI19" s="123"/>
      <c r="AJ19" s="67">
        <f>AH19+AI19</f>
        <v>0</v>
      </c>
      <c r="AK19" s="122">
        <v>37951.088000000003</v>
      </c>
      <c r="AL19" s="123">
        <v>38580.112000000001</v>
      </c>
      <c r="AM19" s="67">
        <f>AK19+AL19</f>
        <v>76531.200000000012</v>
      </c>
      <c r="AN19" s="122">
        <v>2704.5859999999998</v>
      </c>
      <c r="AO19" s="123">
        <v>2749.4140000000002</v>
      </c>
      <c r="AP19" s="108">
        <f>AN19+AO19</f>
        <v>5454</v>
      </c>
    </row>
    <row r="20" spans="1:42" s="55" customFormat="1" ht="15" x14ac:dyDescent="0.2">
      <c r="A20" s="84" t="s">
        <v>106</v>
      </c>
      <c r="B20" s="73" t="s">
        <v>107</v>
      </c>
      <c r="C20" s="66" t="s">
        <v>90</v>
      </c>
      <c r="D20" s="71">
        <v>928.79399999999998</v>
      </c>
      <c r="E20" s="72">
        <v>944.18899999999996</v>
      </c>
      <c r="F20" s="64">
        <f>D20+E20</f>
        <v>1872.9829999999999</v>
      </c>
      <c r="G20" s="217">
        <v>21057.569</v>
      </c>
      <c r="H20" s="72">
        <v>21406.59</v>
      </c>
      <c r="I20" s="64">
        <f>G20+H20</f>
        <v>42464.159</v>
      </c>
      <c r="J20" s="217">
        <v>3776.701</v>
      </c>
      <c r="K20" s="240">
        <v>3839.299</v>
      </c>
      <c r="L20" s="242">
        <f>J20+K20</f>
        <v>7616</v>
      </c>
      <c r="M20" s="71">
        <v>7605.1369999999997</v>
      </c>
      <c r="N20" s="72">
        <v>7731.1890000000003</v>
      </c>
      <c r="O20" s="64">
        <f>M20+N20</f>
        <v>15336.326000000001</v>
      </c>
      <c r="P20" s="71">
        <v>817.72299999999996</v>
      </c>
      <c r="Q20" s="72">
        <v>831.27700000000004</v>
      </c>
      <c r="R20" s="64">
        <f>P20+Q20</f>
        <v>1649</v>
      </c>
      <c r="S20" s="71">
        <v>259.351</v>
      </c>
      <c r="T20" s="72">
        <v>263.649</v>
      </c>
      <c r="U20" s="107">
        <f>S20+T20</f>
        <v>523</v>
      </c>
      <c r="V20" s="71">
        <v>122.98082191780821</v>
      </c>
      <c r="W20" s="72">
        <v>125.01917808219179</v>
      </c>
      <c r="X20" s="64">
        <f>V20+W20</f>
        <v>248</v>
      </c>
      <c r="Y20" s="71">
        <v>262.822</v>
      </c>
      <c r="Z20" s="72">
        <v>267.178</v>
      </c>
      <c r="AA20" s="64">
        <f>Y20+Z20</f>
        <v>530</v>
      </c>
      <c r="AB20" s="71">
        <v>433.40800000000002</v>
      </c>
      <c r="AC20" s="72">
        <v>440.59199999999998</v>
      </c>
      <c r="AD20" s="64">
        <f>AB20+AC20</f>
        <v>874</v>
      </c>
      <c r="AE20" s="71">
        <v>331.255</v>
      </c>
      <c r="AF20" s="72">
        <v>336.745</v>
      </c>
      <c r="AG20" s="64">
        <f>AE20+AF20</f>
        <v>668</v>
      </c>
      <c r="AH20" s="71">
        <v>2796.8220000000001</v>
      </c>
      <c r="AI20" s="72">
        <v>2843.1779999999999</v>
      </c>
      <c r="AJ20" s="64">
        <f>AH20+AI20</f>
        <v>5640</v>
      </c>
      <c r="AK20" s="71">
        <v>1448</v>
      </c>
      <c r="AL20" s="72">
        <v>1472</v>
      </c>
      <c r="AM20" s="64">
        <f>AK20+AL20</f>
        <v>2920</v>
      </c>
      <c r="AN20" s="71">
        <v>1038.8900000000001</v>
      </c>
      <c r="AO20" s="72">
        <v>1056.1099999999999</v>
      </c>
      <c r="AP20" s="107">
        <f>AN20+AO20</f>
        <v>2095</v>
      </c>
    </row>
    <row r="21" spans="1:42" s="55" customFormat="1" ht="15" x14ac:dyDescent="0.2">
      <c r="A21" s="84" t="s">
        <v>108</v>
      </c>
      <c r="B21" s="73" t="s">
        <v>109</v>
      </c>
      <c r="C21" s="66" t="s">
        <v>90</v>
      </c>
      <c r="D21" s="71">
        <v>253.39999999999998</v>
      </c>
      <c r="E21" s="72">
        <v>257.60000000000002</v>
      </c>
      <c r="F21" s="67">
        <f>D21+E21</f>
        <v>511</v>
      </c>
      <c r="G21" s="71">
        <v>2284.252</v>
      </c>
      <c r="H21" s="72">
        <v>2322.114</v>
      </c>
      <c r="I21" s="67">
        <f>G21+H21</f>
        <v>4606.366</v>
      </c>
      <c r="J21" s="217">
        <v>6</v>
      </c>
      <c r="K21" s="240">
        <v>6.1</v>
      </c>
      <c r="L21" s="241">
        <f>J21+K21</f>
        <v>12.1</v>
      </c>
      <c r="M21" s="71">
        <v>1684.489</v>
      </c>
      <c r="N21" s="72">
        <v>1712.41</v>
      </c>
      <c r="O21" s="67">
        <f>M21+N21</f>
        <v>3396.8990000000003</v>
      </c>
      <c r="P21" s="71">
        <v>64.266999999999996</v>
      </c>
      <c r="Q21" s="72">
        <v>65.332999999999998</v>
      </c>
      <c r="R21" s="67">
        <f>P21+Q21</f>
        <v>129.6</v>
      </c>
      <c r="S21" s="71">
        <v>54.844999999999999</v>
      </c>
      <c r="T21" s="72">
        <v>55.753999999999998</v>
      </c>
      <c r="U21" s="108">
        <f>S21+T21</f>
        <v>110.59899999999999</v>
      </c>
      <c r="V21" s="71">
        <v>82.6153424657534</v>
      </c>
      <c r="W21" s="72">
        <v>83.984657534246566</v>
      </c>
      <c r="X21" s="67">
        <f>V21+W21</f>
        <v>166.59999999999997</v>
      </c>
      <c r="Y21" s="71">
        <v>110.38500000000001</v>
      </c>
      <c r="Z21" s="72">
        <v>112.215</v>
      </c>
      <c r="AA21" s="67">
        <f>Y21+Z21</f>
        <v>222.60000000000002</v>
      </c>
      <c r="AB21" s="71">
        <v>272.39299999999997</v>
      </c>
      <c r="AC21" s="72">
        <v>276.90699999999998</v>
      </c>
      <c r="AD21" s="67">
        <f>AB21+AC21</f>
        <v>549.29999999999995</v>
      </c>
      <c r="AE21" s="71">
        <v>252.21</v>
      </c>
      <c r="AF21" s="72">
        <v>256.39</v>
      </c>
      <c r="AG21" s="67">
        <f>AE21+AF21</f>
        <v>508.6</v>
      </c>
      <c r="AH21" s="71">
        <v>37.488999999999997</v>
      </c>
      <c r="AI21" s="72">
        <v>38.110999999999997</v>
      </c>
      <c r="AJ21" s="67">
        <f>AH21+AI21</f>
        <v>75.599999999999994</v>
      </c>
      <c r="AK21" s="71">
        <v>453.09500000000003</v>
      </c>
      <c r="AL21" s="72">
        <v>460.60500000000002</v>
      </c>
      <c r="AM21" s="67">
        <f>AK21+AL21</f>
        <v>913.7</v>
      </c>
      <c r="AN21" s="71">
        <v>947.01300000000003</v>
      </c>
      <c r="AO21" s="72">
        <v>962.70899999999995</v>
      </c>
      <c r="AP21" s="108">
        <f>AN21+AO21</f>
        <v>1909.722</v>
      </c>
    </row>
    <row r="22" spans="1:42" s="55" customFormat="1" ht="14.25" x14ac:dyDescent="0.2">
      <c r="A22" s="85" t="s">
        <v>41</v>
      </c>
      <c r="B22" s="68" t="s">
        <v>110</v>
      </c>
      <c r="C22" s="66" t="s">
        <v>90</v>
      </c>
      <c r="D22" s="114">
        <f t="shared" ref="D22:AP22" si="45">D17-D18</f>
        <v>14140.600000000002</v>
      </c>
      <c r="E22" s="116">
        <f t="shared" si="45"/>
        <v>12554.972999999998</v>
      </c>
      <c r="F22" s="117">
        <f t="shared" si="45"/>
        <v>26695.573</v>
      </c>
      <c r="G22" s="205">
        <f t="shared" si="45"/>
        <v>77824.941999999995</v>
      </c>
      <c r="H22" s="206">
        <f t="shared" si="45"/>
        <v>74694.849000000002</v>
      </c>
      <c r="I22" s="195">
        <f t="shared" si="45"/>
        <v>152519.79100000003</v>
      </c>
      <c r="J22" s="266">
        <f t="shared" si="45"/>
        <v>5163.3269999999993</v>
      </c>
      <c r="K22" s="267">
        <f t="shared" si="45"/>
        <v>4980.07</v>
      </c>
      <c r="L22" s="268">
        <f t="shared" si="45"/>
        <v>10143.396999999995</v>
      </c>
      <c r="M22" s="114">
        <f t="shared" si="45"/>
        <v>30320.745000000003</v>
      </c>
      <c r="N22" s="116">
        <f t="shared" si="45"/>
        <v>26425.579999999994</v>
      </c>
      <c r="O22" s="117">
        <f t="shared" si="45"/>
        <v>56746.324999999983</v>
      </c>
      <c r="P22" s="205">
        <f t="shared" si="45"/>
        <v>8639.9</v>
      </c>
      <c r="Q22" s="206">
        <f t="shared" si="45"/>
        <v>8491.5819999999985</v>
      </c>
      <c r="R22" s="195">
        <f t="shared" si="45"/>
        <v>17131.482</v>
      </c>
      <c r="S22" s="114">
        <f t="shared" si="45"/>
        <v>5508.1</v>
      </c>
      <c r="T22" s="116">
        <f t="shared" si="45"/>
        <v>5382.2870000000003</v>
      </c>
      <c r="U22" s="118">
        <f t="shared" si="45"/>
        <v>10890.386999999999</v>
      </c>
      <c r="V22" s="205">
        <f t="shared" si="45"/>
        <v>5638.1178356164382</v>
      </c>
      <c r="W22" s="206">
        <f t="shared" si="45"/>
        <v>6445.7381643835606</v>
      </c>
      <c r="X22" s="195">
        <f t="shared" si="45"/>
        <v>12083.856</v>
      </c>
      <c r="Y22" s="114">
        <f t="shared" si="45"/>
        <v>2191.5000000000005</v>
      </c>
      <c r="Z22" s="116">
        <f t="shared" si="45"/>
        <v>1429.2729999999999</v>
      </c>
      <c r="AA22" s="117">
        <f t="shared" si="45"/>
        <v>3620.7729999999997</v>
      </c>
      <c r="AB22" s="205">
        <f t="shared" si="45"/>
        <v>19724.925000000003</v>
      </c>
      <c r="AC22" s="206">
        <f t="shared" si="45"/>
        <v>17560.939000000002</v>
      </c>
      <c r="AD22" s="195">
        <f t="shared" si="45"/>
        <v>37285.863999999994</v>
      </c>
      <c r="AE22" s="114">
        <f t="shared" si="45"/>
        <v>14107.499999999998</v>
      </c>
      <c r="AF22" s="116">
        <f t="shared" si="45"/>
        <v>11469.679</v>
      </c>
      <c r="AG22" s="117">
        <f t="shared" si="45"/>
        <v>25577.178999999996</v>
      </c>
      <c r="AH22" s="114">
        <f t="shared" si="45"/>
        <v>13433.609999999999</v>
      </c>
      <c r="AI22" s="116">
        <f t="shared" si="45"/>
        <v>13948.856</v>
      </c>
      <c r="AJ22" s="117">
        <f t="shared" si="45"/>
        <v>27382.466</v>
      </c>
      <c r="AK22" s="114">
        <f t="shared" si="45"/>
        <v>42398.517000000007</v>
      </c>
      <c r="AL22" s="116">
        <f t="shared" si="45"/>
        <v>36182.515999999989</v>
      </c>
      <c r="AM22" s="117">
        <f t="shared" si="45"/>
        <v>78581.03300000001</v>
      </c>
      <c r="AN22" s="114">
        <f t="shared" si="45"/>
        <v>2693.7479999999996</v>
      </c>
      <c r="AO22" s="116">
        <f t="shared" si="45"/>
        <v>2845.0649999999987</v>
      </c>
      <c r="AP22" s="118">
        <f t="shared" si="45"/>
        <v>5538.8129999999983</v>
      </c>
    </row>
    <row r="23" spans="1:42" s="55" customFormat="1" ht="15" x14ac:dyDescent="0.2">
      <c r="A23" s="85"/>
      <c r="B23" s="86" t="s">
        <v>111</v>
      </c>
      <c r="C23" s="66"/>
      <c r="D23" s="71">
        <f t="shared" ref="D23:AP23" si="46">D24+D31+D34</f>
        <v>14140.6</v>
      </c>
      <c r="E23" s="72">
        <f t="shared" si="46"/>
        <v>12554.973</v>
      </c>
      <c r="F23" s="67">
        <f t="shared" si="46"/>
        <v>26695.573</v>
      </c>
      <c r="G23" s="183">
        <f t="shared" si="46"/>
        <v>77824.941999999995</v>
      </c>
      <c r="H23" s="184">
        <f t="shared" si="46"/>
        <v>74694.849000000002</v>
      </c>
      <c r="I23" s="193">
        <f t="shared" si="46"/>
        <v>152519.791</v>
      </c>
      <c r="J23" s="261">
        <f t="shared" si="46"/>
        <v>5210.3669999999993</v>
      </c>
      <c r="K23" s="262">
        <f t="shared" si="46"/>
        <v>4933.0299999999988</v>
      </c>
      <c r="L23" s="265">
        <f t="shared" si="46"/>
        <v>10143.396999999999</v>
      </c>
      <c r="M23" s="71">
        <f t="shared" si="46"/>
        <v>30320.744999999999</v>
      </c>
      <c r="N23" s="72">
        <f t="shared" si="46"/>
        <v>26425.579999999998</v>
      </c>
      <c r="O23" s="67">
        <f t="shared" si="46"/>
        <v>56746.324999999997</v>
      </c>
      <c r="P23" s="183">
        <f t="shared" si="46"/>
        <v>8639.9</v>
      </c>
      <c r="Q23" s="184">
        <f t="shared" si="46"/>
        <v>8491.5820000000003</v>
      </c>
      <c r="R23" s="193">
        <f t="shared" si="46"/>
        <v>17131.482</v>
      </c>
      <c r="S23" s="71">
        <f t="shared" si="46"/>
        <v>5508.1</v>
      </c>
      <c r="T23" s="72">
        <f t="shared" si="46"/>
        <v>5382.2869999999994</v>
      </c>
      <c r="U23" s="108">
        <f t="shared" si="46"/>
        <v>10890.387000000001</v>
      </c>
      <c r="V23" s="183">
        <f t="shared" si="46"/>
        <v>5638.1180000000004</v>
      </c>
      <c r="W23" s="184">
        <f t="shared" si="46"/>
        <v>6445.7380000000012</v>
      </c>
      <c r="X23" s="193">
        <f t="shared" si="46"/>
        <v>12083.856</v>
      </c>
      <c r="Y23" s="71">
        <f t="shared" si="46"/>
        <v>2191.5</v>
      </c>
      <c r="Z23" s="72">
        <f t="shared" si="46"/>
        <v>1429.2729999999999</v>
      </c>
      <c r="AA23" s="67">
        <f t="shared" si="46"/>
        <v>3620.7730000000001</v>
      </c>
      <c r="AB23" s="183">
        <f t="shared" si="46"/>
        <v>19724.924999999999</v>
      </c>
      <c r="AC23" s="184">
        <f t="shared" si="46"/>
        <v>17560.938999999998</v>
      </c>
      <c r="AD23" s="193">
        <f t="shared" si="46"/>
        <v>37285.864000000001</v>
      </c>
      <c r="AE23" s="71">
        <f t="shared" si="46"/>
        <v>14107.5</v>
      </c>
      <c r="AF23" s="72">
        <f t="shared" si="46"/>
        <v>11469.678859999998</v>
      </c>
      <c r="AG23" s="67">
        <f t="shared" si="46"/>
        <v>25577.178859999996</v>
      </c>
      <c r="AH23" s="71">
        <f t="shared" si="46"/>
        <v>13433.609999999999</v>
      </c>
      <c r="AI23" s="72">
        <f t="shared" si="46"/>
        <v>13948.856000000002</v>
      </c>
      <c r="AJ23" s="67">
        <f t="shared" si="46"/>
        <v>27382.466</v>
      </c>
      <c r="AK23" s="71">
        <f t="shared" si="46"/>
        <v>42398.517</v>
      </c>
      <c r="AL23" s="72">
        <f t="shared" si="46"/>
        <v>36182.516000000003</v>
      </c>
      <c r="AM23" s="67">
        <f t="shared" si="46"/>
        <v>78581.032999999996</v>
      </c>
      <c r="AN23" s="71">
        <f t="shared" si="46"/>
        <v>2693.748</v>
      </c>
      <c r="AO23" s="72">
        <f t="shared" si="46"/>
        <v>2845.0650000000001</v>
      </c>
      <c r="AP23" s="108">
        <f t="shared" si="46"/>
        <v>5538.8130000000001</v>
      </c>
    </row>
    <row r="24" spans="1:42" s="80" customFormat="1" ht="14.25" x14ac:dyDescent="0.2">
      <c r="A24" s="178" t="s">
        <v>112</v>
      </c>
      <c r="B24" s="87" t="s">
        <v>113</v>
      </c>
      <c r="C24" s="88" t="s">
        <v>90</v>
      </c>
      <c r="D24" s="89">
        <f t="shared" ref="D24:AP24" si="47">D25+D28</f>
        <v>12934.5</v>
      </c>
      <c r="E24" s="90">
        <f t="shared" si="47"/>
        <v>10750.7</v>
      </c>
      <c r="F24" s="69">
        <f t="shared" si="47"/>
        <v>23685.200000000001</v>
      </c>
      <c r="G24" s="89">
        <f t="shared" si="47"/>
        <v>57297.3</v>
      </c>
      <c r="H24" s="90">
        <f t="shared" si="47"/>
        <v>52435.332000000002</v>
      </c>
      <c r="I24" s="69">
        <f t="shared" si="47"/>
        <v>109732.63200000001</v>
      </c>
      <c r="J24" s="247">
        <f t="shared" si="47"/>
        <v>4578.6819999999998</v>
      </c>
      <c r="K24" s="248">
        <f t="shared" si="47"/>
        <v>4500.3819999999996</v>
      </c>
      <c r="L24" s="239">
        <f t="shared" si="47"/>
        <v>9079.0639999999985</v>
      </c>
      <c r="M24" s="89">
        <f t="shared" si="47"/>
        <v>24974.1</v>
      </c>
      <c r="N24" s="90">
        <f t="shared" si="47"/>
        <v>22378.948999999997</v>
      </c>
      <c r="O24" s="69">
        <f t="shared" si="47"/>
        <v>47353.048999999999</v>
      </c>
      <c r="P24" s="89">
        <f t="shared" si="47"/>
        <v>7740.7000000000007</v>
      </c>
      <c r="Q24" s="90">
        <f t="shared" si="47"/>
        <v>7649.6</v>
      </c>
      <c r="R24" s="69">
        <f t="shared" si="47"/>
        <v>15390.300000000001</v>
      </c>
      <c r="S24" s="89">
        <f t="shared" si="47"/>
        <v>5103.6000000000004</v>
      </c>
      <c r="T24" s="90">
        <f t="shared" si="47"/>
        <v>5015.2999999999993</v>
      </c>
      <c r="U24" s="109">
        <f t="shared" si="47"/>
        <v>10118.9</v>
      </c>
      <c r="V24" s="89">
        <f t="shared" si="47"/>
        <v>4890.1000000000004</v>
      </c>
      <c r="W24" s="90">
        <f t="shared" si="47"/>
        <v>5592.5620000000008</v>
      </c>
      <c r="X24" s="69">
        <f t="shared" si="47"/>
        <v>10482.662</v>
      </c>
      <c r="Y24" s="89">
        <f t="shared" si="47"/>
        <v>2022.6</v>
      </c>
      <c r="Z24" s="90">
        <f t="shared" si="47"/>
        <v>1248.5</v>
      </c>
      <c r="AA24" s="69">
        <f t="shared" si="47"/>
        <v>3271.1</v>
      </c>
      <c r="AB24" s="89">
        <f t="shared" si="47"/>
        <v>17387.400000000001</v>
      </c>
      <c r="AC24" s="90">
        <f t="shared" si="47"/>
        <v>15246.656999999999</v>
      </c>
      <c r="AD24" s="69">
        <f t="shared" si="47"/>
        <v>32634.057000000001</v>
      </c>
      <c r="AE24" s="89">
        <f t="shared" si="47"/>
        <v>12261.1</v>
      </c>
      <c r="AF24" s="90">
        <f t="shared" si="47"/>
        <v>10061.499999999998</v>
      </c>
      <c r="AG24" s="69">
        <f t="shared" si="47"/>
        <v>22322.6</v>
      </c>
      <c r="AH24" s="89">
        <f t="shared" si="47"/>
        <v>12917.699999999999</v>
      </c>
      <c r="AI24" s="90">
        <f t="shared" si="47"/>
        <v>13416.569000000001</v>
      </c>
      <c r="AJ24" s="69">
        <f t="shared" si="47"/>
        <v>26334.269</v>
      </c>
      <c r="AK24" s="89">
        <f t="shared" si="47"/>
        <v>35973.4</v>
      </c>
      <c r="AL24" s="90">
        <f t="shared" si="47"/>
        <v>30484.240000000002</v>
      </c>
      <c r="AM24" s="69">
        <f t="shared" si="47"/>
        <v>66457.64</v>
      </c>
      <c r="AN24" s="89">
        <f t="shared" si="47"/>
        <v>2651.2</v>
      </c>
      <c r="AO24" s="90">
        <f t="shared" si="47"/>
        <v>2794.7400000000002</v>
      </c>
      <c r="AP24" s="109">
        <f t="shared" si="47"/>
        <v>5445.9400000000005</v>
      </c>
    </row>
    <row r="25" spans="1:42" s="55" customFormat="1" ht="15" x14ac:dyDescent="0.2">
      <c r="A25" s="84"/>
      <c r="B25" s="73" t="s">
        <v>114</v>
      </c>
      <c r="C25" s="66" t="s">
        <v>90</v>
      </c>
      <c r="D25" s="71">
        <f t="shared" ref="D25:E25" si="48">D26+D27</f>
        <v>0</v>
      </c>
      <c r="E25" s="72">
        <f t="shared" si="48"/>
        <v>0</v>
      </c>
      <c r="F25" s="108">
        <f t="shared" ref="F25:F30" si="49">D25+E25</f>
        <v>0</v>
      </c>
      <c r="G25" s="71">
        <f t="shared" ref="G25:H25" si="50">G26+G27</f>
        <v>57297.3</v>
      </c>
      <c r="H25" s="72">
        <f t="shared" si="50"/>
        <v>52435.332000000002</v>
      </c>
      <c r="I25" s="108">
        <f t="shared" ref="I25:I30" si="51">G25+H25</f>
        <v>109732.63200000001</v>
      </c>
      <c r="J25" s="217">
        <f t="shared" ref="J25:K25" si="52">J26+J27</f>
        <v>0</v>
      </c>
      <c r="K25" s="240">
        <f t="shared" si="52"/>
        <v>0</v>
      </c>
      <c r="L25" s="249">
        <f t="shared" ref="L25:L30" si="53">J25+K25</f>
        <v>0</v>
      </c>
      <c r="M25" s="71">
        <f t="shared" ref="M25:N25" si="54">M26+M27</f>
        <v>24974.1</v>
      </c>
      <c r="N25" s="72">
        <f t="shared" si="54"/>
        <v>22378.948999999997</v>
      </c>
      <c r="O25" s="108">
        <f t="shared" ref="O25:O30" si="55">M25+N25</f>
        <v>47353.048999999999</v>
      </c>
      <c r="P25" s="71">
        <f t="shared" ref="P25:Q25" si="56">P26+P27</f>
        <v>0</v>
      </c>
      <c r="Q25" s="72">
        <f t="shared" si="56"/>
        <v>0</v>
      </c>
      <c r="R25" s="108">
        <f t="shared" ref="R25:R30" si="57">P25+Q25</f>
        <v>0</v>
      </c>
      <c r="S25" s="71">
        <f t="shared" ref="S25:T25" si="58">S26+S27</f>
        <v>0</v>
      </c>
      <c r="T25" s="72">
        <f t="shared" si="58"/>
        <v>0</v>
      </c>
      <c r="U25" s="108">
        <f t="shared" ref="U25:U30" si="59">S25+T25</f>
        <v>0</v>
      </c>
      <c r="V25" s="71">
        <f t="shared" ref="V25:W25" si="60">V26+V27</f>
        <v>0</v>
      </c>
      <c r="W25" s="72">
        <f t="shared" si="60"/>
        <v>0</v>
      </c>
      <c r="X25" s="108">
        <f t="shared" ref="X25:X30" si="61">V25+W25</f>
        <v>0</v>
      </c>
      <c r="Y25" s="71">
        <f t="shared" ref="Y25:Z25" si="62">Y26+Y27</f>
        <v>0</v>
      </c>
      <c r="Z25" s="72">
        <f t="shared" si="62"/>
        <v>0</v>
      </c>
      <c r="AA25" s="108">
        <f t="shared" ref="AA25:AA30" si="63">Y25+Z25</f>
        <v>0</v>
      </c>
      <c r="AB25" s="71">
        <f t="shared" ref="AB25:AC25" si="64">AB26+AB27</f>
        <v>0</v>
      </c>
      <c r="AC25" s="72">
        <f t="shared" si="64"/>
        <v>0</v>
      </c>
      <c r="AD25" s="108">
        <f t="shared" ref="AD25:AD30" si="65">AB25+AC25</f>
        <v>0</v>
      </c>
      <c r="AE25" s="71">
        <f t="shared" ref="AE25:AF25" si="66">AE26+AE27</f>
        <v>0</v>
      </c>
      <c r="AF25" s="72">
        <f t="shared" si="66"/>
        <v>0</v>
      </c>
      <c r="AG25" s="108">
        <f t="shared" ref="AG25:AG30" si="67">AE25+AF25</f>
        <v>0</v>
      </c>
      <c r="AH25" s="71">
        <f t="shared" ref="AH25:AI25" si="68">AH26+AH27</f>
        <v>0</v>
      </c>
      <c r="AI25" s="72">
        <f t="shared" si="68"/>
        <v>0</v>
      </c>
      <c r="AJ25" s="108">
        <f t="shared" ref="AJ25:AJ30" si="69">AH25+AI25</f>
        <v>0</v>
      </c>
      <c r="AK25" s="71">
        <f t="shared" ref="AK25:AL25" si="70">AK26+AK27</f>
        <v>35973.4</v>
      </c>
      <c r="AL25" s="72">
        <f t="shared" si="70"/>
        <v>30484.240000000002</v>
      </c>
      <c r="AM25" s="108">
        <f t="shared" ref="AM25:AM30" si="71">AK25+AL25</f>
        <v>66457.64</v>
      </c>
      <c r="AN25" s="71">
        <f t="shared" ref="AN25:AO25" si="72">AN26+AN27</f>
        <v>0</v>
      </c>
      <c r="AO25" s="72">
        <f t="shared" si="72"/>
        <v>0</v>
      </c>
      <c r="AP25" s="108">
        <f t="shared" ref="AP25:AP30" si="73">AN25+AO25</f>
        <v>0</v>
      </c>
    </row>
    <row r="26" spans="1:42" s="55" customFormat="1" ht="15" x14ac:dyDescent="0.2">
      <c r="A26" s="61"/>
      <c r="B26" s="92" t="s">
        <v>115</v>
      </c>
      <c r="C26" s="63" t="s">
        <v>90</v>
      </c>
      <c r="D26" s="121"/>
      <c r="E26" s="115"/>
      <c r="F26" s="108">
        <f t="shared" si="49"/>
        <v>0</v>
      </c>
      <c r="G26" s="204">
        <v>43599</v>
      </c>
      <c r="H26" s="191">
        <v>42572.446000000004</v>
      </c>
      <c r="I26" s="108">
        <f t="shared" si="51"/>
        <v>86171.445999999996</v>
      </c>
      <c r="J26" s="250"/>
      <c r="K26" s="251"/>
      <c r="L26" s="249">
        <f t="shared" si="53"/>
        <v>0</v>
      </c>
      <c r="M26" s="204">
        <v>4140.6000000000004</v>
      </c>
      <c r="N26" s="191">
        <f>2402.7+0.049</f>
        <v>2402.7489999999998</v>
      </c>
      <c r="O26" s="108">
        <f t="shared" si="55"/>
        <v>6543.3490000000002</v>
      </c>
      <c r="P26" s="121"/>
      <c r="Q26" s="115"/>
      <c r="R26" s="108">
        <f t="shared" si="57"/>
        <v>0</v>
      </c>
      <c r="S26" s="121"/>
      <c r="T26" s="115"/>
      <c r="U26" s="108">
        <f t="shared" si="59"/>
        <v>0</v>
      </c>
      <c r="V26" s="121"/>
      <c r="W26" s="115"/>
      <c r="X26" s="108">
        <f t="shared" si="61"/>
        <v>0</v>
      </c>
      <c r="Y26" s="121"/>
      <c r="Z26" s="115"/>
      <c r="AA26" s="108">
        <f t="shared" si="63"/>
        <v>0</v>
      </c>
      <c r="AB26" s="121"/>
      <c r="AC26" s="115"/>
      <c r="AD26" s="108">
        <f t="shared" si="65"/>
        <v>0</v>
      </c>
      <c r="AE26" s="121"/>
      <c r="AF26" s="115"/>
      <c r="AG26" s="108">
        <f t="shared" si="67"/>
        <v>0</v>
      </c>
      <c r="AH26" s="121"/>
      <c r="AI26" s="115"/>
      <c r="AJ26" s="108">
        <f t="shared" si="69"/>
        <v>0</v>
      </c>
      <c r="AK26" s="121">
        <v>20515.400000000001</v>
      </c>
      <c r="AL26" s="115">
        <f>24070.2+0.04</f>
        <v>24070.240000000002</v>
      </c>
      <c r="AM26" s="108">
        <f t="shared" si="71"/>
        <v>44585.64</v>
      </c>
      <c r="AN26" s="121"/>
      <c r="AO26" s="115"/>
      <c r="AP26" s="108">
        <f t="shared" si="73"/>
        <v>0</v>
      </c>
    </row>
    <row r="27" spans="1:42" s="55" customFormat="1" ht="15" x14ac:dyDescent="0.2">
      <c r="A27" s="84"/>
      <c r="B27" s="65" t="s">
        <v>116</v>
      </c>
      <c r="C27" s="66" t="s">
        <v>90</v>
      </c>
      <c r="D27" s="71"/>
      <c r="E27" s="72"/>
      <c r="F27" s="108">
        <f t="shared" si="49"/>
        <v>0</v>
      </c>
      <c r="G27" s="183">
        <v>13698.3</v>
      </c>
      <c r="H27" s="184">
        <v>9862.8860000000004</v>
      </c>
      <c r="I27" s="108">
        <f t="shared" si="51"/>
        <v>23561.186000000002</v>
      </c>
      <c r="J27" s="217"/>
      <c r="K27" s="240"/>
      <c r="L27" s="249">
        <f t="shared" si="53"/>
        <v>0</v>
      </c>
      <c r="M27" s="183">
        <v>20833.5</v>
      </c>
      <c r="N27" s="184">
        <v>19976.199999999997</v>
      </c>
      <c r="O27" s="108">
        <f t="shared" si="55"/>
        <v>40809.699999999997</v>
      </c>
      <c r="P27" s="71"/>
      <c r="Q27" s="72"/>
      <c r="R27" s="108">
        <f t="shared" si="57"/>
        <v>0</v>
      </c>
      <c r="S27" s="71"/>
      <c r="T27" s="72"/>
      <c r="U27" s="108">
        <f t="shared" si="59"/>
        <v>0</v>
      </c>
      <c r="V27" s="71"/>
      <c r="W27" s="72"/>
      <c r="X27" s="108">
        <f t="shared" si="61"/>
        <v>0</v>
      </c>
      <c r="Y27" s="71"/>
      <c r="Z27" s="72"/>
      <c r="AA27" s="108">
        <f t="shared" si="63"/>
        <v>0</v>
      </c>
      <c r="AB27" s="71"/>
      <c r="AC27" s="72"/>
      <c r="AD27" s="108">
        <f t="shared" si="65"/>
        <v>0</v>
      </c>
      <c r="AE27" s="71"/>
      <c r="AF27" s="72"/>
      <c r="AG27" s="108">
        <f t="shared" si="67"/>
        <v>0</v>
      </c>
      <c r="AH27" s="71"/>
      <c r="AI27" s="72"/>
      <c r="AJ27" s="108">
        <f t="shared" si="69"/>
        <v>0</v>
      </c>
      <c r="AK27" s="71">
        <v>15458</v>
      </c>
      <c r="AL27" s="72">
        <v>6414</v>
      </c>
      <c r="AM27" s="108">
        <f t="shared" si="71"/>
        <v>21872</v>
      </c>
      <c r="AN27" s="71"/>
      <c r="AO27" s="72"/>
      <c r="AP27" s="108">
        <f t="shared" si="73"/>
        <v>0</v>
      </c>
    </row>
    <row r="28" spans="1:42" s="55" customFormat="1" ht="15" x14ac:dyDescent="0.2">
      <c r="A28" s="85" t="s">
        <v>117</v>
      </c>
      <c r="B28" s="73" t="s">
        <v>118</v>
      </c>
      <c r="C28" s="66" t="s">
        <v>90</v>
      </c>
      <c r="D28" s="71">
        <f>D29+D30</f>
        <v>12934.5</v>
      </c>
      <c r="E28" s="72">
        <f>E29+E30</f>
        <v>10750.7</v>
      </c>
      <c r="F28" s="67">
        <f t="shared" si="49"/>
        <v>23685.200000000001</v>
      </c>
      <c r="G28" s="71">
        <f>G29+G30</f>
        <v>0</v>
      </c>
      <c r="H28" s="72">
        <f>H29+H30</f>
        <v>0</v>
      </c>
      <c r="I28" s="67">
        <f t="shared" si="51"/>
        <v>0</v>
      </c>
      <c r="J28" s="217">
        <f>J29+J30</f>
        <v>4578.6819999999998</v>
      </c>
      <c r="K28" s="240">
        <f>K29+K30</f>
        <v>4500.3819999999996</v>
      </c>
      <c r="L28" s="241">
        <f t="shared" si="53"/>
        <v>9079.0639999999985</v>
      </c>
      <c r="M28" s="71">
        <f>M29+M30</f>
        <v>0</v>
      </c>
      <c r="N28" s="72">
        <f>N29+N30</f>
        <v>0</v>
      </c>
      <c r="O28" s="67">
        <f t="shared" si="55"/>
        <v>0</v>
      </c>
      <c r="P28" s="71">
        <f>P29+P30</f>
        <v>7740.7000000000007</v>
      </c>
      <c r="Q28" s="72">
        <f>Q29+Q30</f>
        <v>7649.6</v>
      </c>
      <c r="R28" s="67">
        <f t="shared" si="57"/>
        <v>15390.300000000001</v>
      </c>
      <c r="S28" s="71">
        <f>S29+S30</f>
        <v>5103.6000000000004</v>
      </c>
      <c r="T28" s="72">
        <f>T29+T30</f>
        <v>5015.2999999999993</v>
      </c>
      <c r="U28" s="108">
        <f t="shared" si="59"/>
        <v>10118.9</v>
      </c>
      <c r="V28" s="71">
        <f>V29+V30</f>
        <v>4890.1000000000004</v>
      </c>
      <c r="W28" s="72">
        <f>W29+W30</f>
        <v>5592.5620000000008</v>
      </c>
      <c r="X28" s="67">
        <f t="shared" si="61"/>
        <v>10482.662</v>
      </c>
      <c r="Y28" s="71">
        <f>Y29+Y30</f>
        <v>2022.6</v>
      </c>
      <c r="Z28" s="72">
        <f>Z29+Z30</f>
        <v>1248.5</v>
      </c>
      <c r="AA28" s="67">
        <f t="shared" si="63"/>
        <v>3271.1</v>
      </c>
      <c r="AB28" s="71">
        <f>AB29+AB30</f>
        <v>17387.400000000001</v>
      </c>
      <c r="AC28" s="72">
        <f>AC29+AC30</f>
        <v>15246.656999999999</v>
      </c>
      <c r="AD28" s="193">
        <f t="shared" si="65"/>
        <v>32634.057000000001</v>
      </c>
      <c r="AE28" s="71">
        <f>AE29+AE30</f>
        <v>12261.1</v>
      </c>
      <c r="AF28" s="72">
        <f>AF29+AF30</f>
        <v>10061.499999999998</v>
      </c>
      <c r="AG28" s="67">
        <f t="shared" si="67"/>
        <v>22322.6</v>
      </c>
      <c r="AH28" s="71">
        <f>AH29+AH30</f>
        <v>12917.699999999999</v>
      </c>
      <c r="AI28" s="72">
        <f>AI29+AI30</f>
        <v>13416.569000000001</v>
      </c>
      <c r="AJ28" s="67">
        <f t="shared" si="69"/>
        <v>26334.269</v>
      </c>
      <c r="AK28" s="71">
        <f>AK29+AK30</f>
        <v>0</v>
      </c>
      <c r="AL28" s="72">
        <f>AL29+AL30</f>
        <v>0</v>
      </c>
      <c r="AM28" s="67">
        <f t="shared" si="71"/>
        <v>0</v>
      </c>
      <c r="AN28" s="71">
        <f>AN29+AN30</f>
        <v>2651.2</v>
      </c>
      <c r="AO28" s="72">
        <f>AO29+AO30</f>
        <v>2794.7400000000002</v>
      </c>
      <c r="AP28" s="108">
        <f t="shared" si="73"/>
        <v>5445.9400000000005</v>
      </c>
    </row>
    <row r="29" spans="1:42" s="55" customFormat="1" ht="15" x14ac:dyDescent="0.2">
      <c r="A29" s="84"/>
      <c r="B29" s="65" t="s">
        <v>115</v>
      </c>
      <c r="C29" s="66" t="s">
        <v>90</v>
      </c>
      <c r="D29" s="183">
        <v>5814.4</v>
      </c>
      <c r="E29" s="184">
        <v>4860.8000000000011</v>
      </c>
      <c r="F29" s="67">
        <f t="shared" si="49"/>
        <v>10675.2</v>
      </c>
      <c r="G29" s="71"/>
      <c r="H29" s="72"/>
      <c r="I29" s="67">
        <f t="shared" si="51"/>
        <v>0</v>
      </c>
      <c r="J29" s="261">
        <v>816.39700000000005</v>
      </c>
      <c r="K29" s="262">
        <v>1059.1959999999999</v>
      </c>
      <c r="L29" s="241">
        <f t="shared" si="53"/>
        <v>1875.5929999999998</v>
      </c>
      <c r="M29" s="71"/>
      <c r="N29" s="72"/>
      <c r="O29" s="67">
        <f t="shared" si="55"/>
        <v>0</v>
      </c>
      <c r="P29" s="183">
        <v>5089.3</v>
      </c>
      <c r="Q29" s="184">
        <v>5424.2</v>
      </c>
      <c r="R29" s="67">
        <f t="shared" si="57"/>
        <v>10513.5</v>
      </c>
      <c r="S29" s="183">
        <v>3613.6</v>
      </c>
      <c r="T29" s="184">
        <v>3534.9999999999995</v>
      </c>
      <c r="U29" s="108">
        <f t="shared" si="59"/>
        <v>7148.5999999999995</v>
      </c>
      <c r="V29" s="183">
        <v>3072</v>
      </c>
      <c r="W29" s="184">
        <v>3948.4000000000005</v>
      </c>
      <c r="X29" s="67">
        <f t="shared" si="61"/>
        <v>7020.4000000000005</v>
      </c>
      <c r="Y29" s="183">
        <v>1025.7</v>
      </c>
      <c r="Z29" s="184">
        <v>308.39999999999986</v>
      </c>
      <c r="AA29" s="67">
        <f t="shared" si="63"/>
        <v>1334.1</v>
      </c>
      <c r="AB29" s="183">
        <v>10355.5</v>
      </c>
      <c r="AC29" s="184">
        <v>11791.3</v>
      </c>
      <c r="AD29" s="67">
        <f t="shared" si="65"/>
        <v>22146.799999999999</v>
      </c>
      <c r="AE29" s="183">
        <v>7217.3</v>
      </c>
      <c r="AF29" s="184">
        <v>5716.199999999998</v>
      </c>
      <c r="AG29" s="67">
        <f t="shared" si="67"/>
        <v>12933.499999999998</v>
      </c>
      <c r="AH29" s="183">
        <v>762.3</v>
      </c>
      <c r="AI29" s="184">
        <f>1260.3-0.031</f>
        <v>1260.269</v>
      </c>
      <c r="AJ29" s="67">
        <f t="shared" si="69"/>
        <v>2022.569</v>
      </c>
      <c r="AK29" s="71"/>
      <c r="AL29" s="72"/>
      <c r="AM29" s="67">
        <f t="shared" si="71"/>
        <v>0</v>
      </c>
      <c r="AN29" s="71">
        <v>520.70000000000005</v>
      </c>
      <c r="AO29" s="72">
        <f>956.9+0.04</f>
        <v>956.93999999999994</v>
      </c>
      <c r="AP29" s="108">
        <f t="shared" si="73"/>
        <v>1477.6399999999999</v>
      </c>
    </row>
    <row r="30" spans="1:42" s="55" customFormat="1" ht="15" x14ac:dyDescent="0.2">
      <c r="A30" s="84"/>
      <c r="B30" s="65" t="s">
        <v>116</v>
      </c>
      <c r="C30" s="66" t="s">
        <v>90</v>
      </c>
      <c r="D30" s="183">
        <v>7120.1</v>
      </c>
      <c r="E30" s="184">
        <v>5889.9</v>
      </c>
      <c r="F30" s="67">
        <f t="shared" si="49"/>
        <v>13010</v>
      </c>
      <c r="G30" s="71"/>
      <c r="H30" s="72"/>
      <c r="I30" s="67">
        <f t="shared" si="51"/>
        <v>0</v>
      </c>
      <c r="J30" s="261">
        <v>3762.2849999999999</v>
      </c>
      <c r="K30" s="262">
        <v>3441.1860000000001</v>
      </c>
      <c r="L30" s="241">
        <f t="shared" si="53"/>
        <v>7203.4709999999995</v>
      </c>
      <c r="M30" s="71"/>
      <c r="N30" s="72"/>
      <c r="O30" s="67">
        <f t="shared" si="55"/>
        <v>0</v>
      </c>
      <c r="P30" s="183">
        <v>2651.4</v>
      </c>
      <c r="Q30" s="184">
        <v>2225.4</v>
      </c>
      <c r="R30" s="67">
        <f t="shared" si="57"/>
        <v>4876.8</v>
      </c>
      <c r="S30" s="183">
        <v>1490</v>
      </c>
      <c r="T30" s="184">
        <v>1480.3000000000002</v>
      </c>
      <c r="U30" s="108">
        <f t="shared" si="59"/>
        <v>2970.3</v>
      </c>
      <c r="V30" s="183">
        <v>1818.1</v>
      </c>
      <c r="W30" s="184">
        <f>1644.2-0.038</f>
        <v>1644.162</v>
      </c>
      <c r="X30" s="67">
        <f t="shared" si="61"/>
        <v>3462.2619999999997</v>
      </c>
      <c r="Y30" s="183">
        <v>996.9</v>
      </c>
      <c r="Z30" s="184">
        <v>940.1</v>
      </c>
      <c r="AA30" s="67">
        <f t="shared" si="63"/>
        <v>1937</v>
      </c>
      <c r="AB30" s="183">
        <v>7031.9</v>
      </c>
      <c r="AC30" s="184">
        <f>3455.4-0.043</f>
        <v>3455.357</v>
      </c>
      <c r="AD30" s="67">
        <f t="shared" si="65"/>
        <v>10487.257</v>
      </c>
      <c r="AE30" s="183">
        <v>5043.8</v>
      </c>
      <c r="AF30" s="184">
        <v>4345.3</v>
      </c>
      <c r="AG30" s="67">
        <f t="shared" si="67"/>
        <v>9389.1</v>
      </c>
      <c r="AH30" s="183">
        <v>12155.4</v>
      </c>
      <c r="AI30" s="184">
        <v>12156.300000000001</v>
      </c>
      <c r="AJ30" s="67">
        <f t="shared" si="69"/>
        <v>24311.7</v>
      </c>
      <c r="AK30" s="71"/>
      <c r="AL30" s="72"/>
      <c r="AM30" s="67">
        <f t="shared" si="71"/>
        <v>0</v>
      </c>
      <c r="AN30" s="71">
        <v>2130.5</v>
      </c>
      <c r="AO30" s="72">
        <v>1837.8000000000002</v>
      </c>
      <c r="AP30" s="108">
        <f t="shared" si="73"/>
        <v>3968.3</v>
      </c>
    </row>
    <row r="31" spans="1:42" s="80" customFormat="1" ht="14.25" x14ac:dyDescent="0.2">
      <c r="A31" s="178" t="s">
        <v>119</v>
      </c>
      <c r="B31" s="93" t="s">
        <v>120</v>
      </c>
      <c r="C31" s="88" t="s">
        <v>90</v>
      </c>
      <c r="D31" s="89">
        <f t="shared" ref="D31:AP31" si="74">D32+D33</f>
        <v>930.7</v>
      </c>
      <c r="E31" s="90">
        <f t="shared" si="74"/>
        <v>1054.114</v>
      </c>
      <c r="F31" s="69">
        <f t="shared" si="74"/>
        <v>1984.8140000000001</v>
      </c>
      <c r="G31" s="89">
        <f t="shared" si="74"/>
        <v>5339.643</v>
      </c>
      <c r="H31" s="90">
        <f t="shared" si="74"/>
        <v>4870.5789999999997</v>
      </c>
      <c r="I31" s="69">
        <f t="shared" si="74"/>
        <v>10210.222</v>
      </c>
      <c r="J31" s="247">
        <f t="shared" si="74"/>
        <v>467.14499999999998</v>
      </c>
      <c r="K31" s="248">
        <f t="shared" si="74"/>
        <v>272.16800000000001</v>
      </c>
      <c r="L31" s="239">
        <f t="shared" si="74"/>
        <v>739.3130000000001</v>
      </c>
      <c r="M31" s="89">
        <f t="shared" si="74"/>
        <v>4399.0140000000001</v>
      </c>
      <c r="N31" s="90">
        <f t="shared" si="74"/>
        <v>3110.4539999999997</v>
      </c>
      <c r="O31" s="69">
        <f t="shared" si="74"/>
        <v>7509.4679999999998</v>
      </c>
      <c r="P31" s="89">
        <f t="shared" si="74"/>
        <v>623.79999999999995</v>
      </c>
      <c r="Q31" s="90">
        <f t="shared" si="74"/>
        <v>476.49200000000002</v>
      </c>
      <c r="R31" s="69">
        <f t="shared" si="74"/>
        <v>1100.2919999999999</v>
      </c>
      <c r="S31" s="89">
        <f t="shared" si="74"/>
        <v>230.4</v>
      </c>
      <c r="T31" s="90">
        <f t="shared" si="74"/>
        <v>181.14700000000002</v>
      </c>
      <c r="U31" s="109">
        <f t="shared" si="74"/>
        <v>411.54700000000003</v>
      </c>
      <c r="V31" s="89">
        <f t="shared" si="74"/>
        <v>369.99099999999999</v>
      </c>
      <c r="W31" s="90">
        <f t="shared" si="74"/>
        <v>450.93400000000003</v>
      </c>
      <c r="X31" s="69">
        <f t="shared" si="74"/>
        <v>820.92499999999995</v>
      </c>
      <c r="Y31" s="89">
        <f t="shared" si="74"/>
        <v>113.6</v>
      </c>
      <c r="Z31" s="90">
        <f t="shared" si="74"/>
        <v>106.45399999999999</v>
      </c>
      <c r="AA31" s="69">
        <f t="shared" si="74"/>
        <v>220.054</v>
      </c>
      <c r="AB31" s="89">
        <f t="shared" si="74"/>
        <v>1495.1509999999998</v>
      </c>
      <c r="AC31" s="90">
        <f t="shared" si="74"/>
        <v>1322.568</v>
      </c>
      <c r="AD31" s="69">
        <f t="shared" si="74"/>
        <v>2817.7190000000001</v>
      </c>
      <c r="AE31" s="89">
        <f t="shared" si="74"/>
        <v>1722.9</v>
      </c>
      <c r="AF31" s="90">
        <f t="shared" si="74"/>
        <v>1290.4670000000001</v>
      </c>
      <c r="AG31" s="69">
        <f t="shared" si="74"/>
        <v>3013.3670000000002</v>
      </c>
      <c r="AH31" s="89">
        <f t="shared" si="74"/>
        <v>457.32100000000003</v>
      </c>
      <c r="AI31" s="90">
        <f t="shared" si="74"/>
        <v>459.67599999999999</v>
      </c>
      <c r="AJ31" s="69">
        <f t="shared" si="74"/>
        <v>916.99700000000007</v>
      </c>
      <c r="AK31" s="89">
        <f t="shared" si="74"/>
        <v>5319.2520000000004</v>
      </c>
      <c r="AL31" s="90">
        <f t="shared" si="74"/>
        <v>4033.4059999999999</v>
      </c>
      <c r="AM31" s="69">
        <f t="shared" si="74"/>
        <v>9352.6579999999994</v>
      </c>
      <c r="AN31" s="89">
        <f t="shared" si="74"/>
        <v>3.4809999999999999</v>
      </c>
      <c r="AO31" s="90">
        <f t="shared" si="74"/>
        <v>3.9590000000000001</v>
      </c>
      <c r="AP31" s="109">
        <f t="shared" si="74"/>
        <v>7.4399999999999995</v>
      </c>
    </row>
    <row r="32" spans="1:42" s="55" customFormat="1" ht="15" x14ac:dyDescent="0.2">
      <c r="A32" s="94"/>
      <c r="B32" s="95" t="s">
        <v>115</v>
      </c>
      <c r="C32" s="74" t="s">
        <v>90</v>
      </c>
      <c r="D32" s="185">
        <v>930.7</v>
      </c>
      <c r="E32" s="186">
        <v>1054.114</v>
      </c>
      <c r="F32" s="96">
        <f>D32+E32</f>
        <v>1984.8140000000001</v>
      </c>
      <c r="G32" s="185">
        <v>4501.4830000000002</v>
      </c>
      <c r="H32" s="186">
        <v>4193.991</v>
      </c>
      <c r="I32" s="96">
        <f>G32+H32</f>
        <v>8695.4740000000002</v>
      </c>
      <c r="J32" s="263">
        <v>459.02600000000001</v>
      </c>
      <c r="K32" s="264">
        <v>264.04899999999998</v>
      </c>
      <c r="L32" s="252">
        <f>J32+K32</f>
        <v>723.07500000000005</v>
      </c>
      <c r="M32" s="185">
        <v>4332.7489999999998</v>
      </c>
      <c r="N32" s="186">
        <v>3044.1889999999999</v>
      </c>
      <c r="O32" s="96">
        <f>M32+N32</f>
        <v>7376.9380000000001</v>
      </c>
      <c r="P32" s="185">
        <v>526</v>
      </c>
      <c r="Q32" s="186">
        <v>378.69200000000001</v>
      </c>
      <c r="R32" s="96">
        <f>P32+Q32</f>
        <v>904.69200000000001</v>
      </c>
      <c r="S32" s="185">
        <v>230.4</v>
      </c>
      <c r="T32" s="186">
        <v>181.14700000000002</v>
      </c>
      <c r="U32" s="111">
        <f>S32+T32</f>
        <v>411.54700000000003</v>
      </c>
      <c r="V32" s="185">
        <v>369.99099999999999</v>
      </c>
      <c r="W32" s="186">
        <v>450.93400000000003</v>
      </c>
      <c r="X32" s="96">
        <f>V32+W32</f>
        <v>820.92499999999995</v>
      </c>
      <c r="Y32" s="185">
        <v>110.3</v>
      </c>
      <c r="Z32" s="186">
        <v>103.45399999999999</v>
      </c>
      <c r="AA32" s="96">
        <f>Y32+Z32</f>
        <v>213.75399999999999</v>
      </c>
      <c r="AB32" s="185">
        <v>1480.2159999999999</v>
      </c>
      <c r="AC32" s="186">
        <v>1307.5170000000001</v>
      </c>
      <c r="AD32" s="96">
        <f>AB32+AC32</f>
        <v>2787.7330000000002</v>
      </c>
      <c r="AE32" s="185">
        <v>1720.5</v>
      </c>
      <c r="AF32" s="186">
        <v>1288.067</v>
      </c>
      <c r="AG32" s="96">
        <f>AE32+AF32</f>
        <v>3008.567</v>
      </c>
      <c r="AH32" s="185">
        <v>454.024</v>
      </c>
      <c r="AI32" s="186">
        <v>457.512</v>
      </c>
      <c r="AJ32" s="96">
        <f>AH32+AI32</f>
        <v>911.53600000000006</v>
      </c>
      <c r="AK32" s="122">
        <v>5318.1040000000003</v>
      </c>
      <c r="AL32" s="123">
        <v>4032.8319999999999</v>
      </c>
      <c r="AM32" s="96">
        <f>AK32+AL32</f>
        <v>9350.9359999999997</v>
      </c>
      <c r="AN32" s="122">
        <v>3.4809999999999999</v>
      </c>
      <c r="AO32" s="123">
        <v>3.9590000000000001</v>
      </c>
      <c r="AP32" s="111">
        <f>AN32+AO32</f>
        <v>7.4399999999999995</v>
      </c>
    </row>
    <row r="33" spans="1:42" s="55" customFormat="1" ht="15" x14ac:dyDescent="0.2">
      <c r="A33" s="84"/>
      <c r="B33" s="97" t="s">
        <v>121</v>
      </c>
      <c r="C33" s="66" t="s">
        <v>90</v>
      </c>
      <c r="D33" s="71"/>
      <c r="E33" s="72"/>
      <c r="F33" s="67">
        <f>D33+E33</f>
        <v>0</v>
      </c>
      <c r="G33" s="183">
        <v>838.16</v>
      </c>
      <c r="H33" s="184">
        <v>676.58799999999997</v>
      </c>
      <c r="I33" s="67">
        <f>G33+H33</f>
        <v>1514.748</v>
      </c>
      <c r="J33" s="261">
        <v>8.1189999999999998</v>
      </c>
      <c r="K33" s="262">
        <v>8.1189999999999998</v>
      </c>
      <c r="L33" s="241">
        <f>J33+K33</f>
        <v>16.238</v>
      </c>
      <c r="M33" s="183">
        <v>66.265000000000001</v>
      </c>
      <c r="N33" s="184">
        <v>66.265000000000001</v>
      </c>
      <c r="O33" s="67">
        <f>M33+N33</f>
        <v>132.53</v>
      </c>
      <c r="P33" s="183">
        <v>97.8</v>
      </c>
      <c r="Q33" s="184">
        <v>97.8</v>
      </c>
      <c r="R33" s="67">
        <f>P33+Q33</f>
        <v>195.6</v>
      </c>
      <c r="S33" s="71"/>
      <c r="T33" s="72"/>
      <c r="U33" s="108">
        <f>S33+T33</f>
        <v>0</v>
      </c>
      <c r="V33" s="71"/>
      <c r="W33" s="72"/>
      <c r="X33" s="67">
        <f>V33+W33</f>
        <v>0</v>
      </c>
      <c r="Y33" s="185">
        <v>3.3</v>
      </c>
      <c r="Z33" s="186">
        <v>3</v>
      </c>
      <c r="AA33" s="67">
        <f>Y33+Z33</f>
        <v>6.3</v>
      </c>
      <c r="AB33" s="183">
        <v>14.935</v>
      </c>
      <c r="AC33" s="184">
        <v>15.051</v>
      </c>
      <c r="AD33" s="67">
        <f>AB33+AC33</f>
        <v>29.986000000000001</v>
      </c>
      <c r="AE33" s="183">
        <v>2.4</v>
      </c>
      <c r="AF33" s="184">
        <v>2.4</v>
      </c>
      <c r="AG33" s="67">
        <f>AE33+AF33</f>
        <v>4.8</v>
      </c>
      <c r="AH33" s="183">
        <v>3.2970000000000002</v>
      </c>
      <c r="AI33" s="184">
        <v>2.1640000000000001</v>
      </c>
      <c r="AJ33" s="67">
        <f>AH33+AI33</f>
        <v>5.4610000000000003</v>
      </c>
      <c r="AK33" s="71">
        <v>1.1479999999999999</v>
      </c>
      <c r="AL33" s="72">
        <v>0.57399999999999995</v>
      </c>
      <c r="AM33" s="67">
        <f>AK33+AL33</f>
        <v>1.722</v>
      </c>
      <c r="AN33" s="71"/>
      <c r="AO33" s="72"/>
      <c r="AP33" s="108">
        <f>AN33+AO33</f>
        <v>0</v>
      </c>
    </row>
    <row r="34" spans="1:42" s="80" customFormat="1" ht="14.25" x14ac:dyDescent="0.2">
      <c r="A34" s="98" t="s">
        <v>122</v>
      </c>
      <c r="B34" s="99" t="s">
        <v>0</v>
      </c>
      <c r="C34" s="77" t="s">
        <v>90</v>
      </c>
      <c r="D34" s="78">
        <f t="shared" ref="D34:AP34" si="75">D35+D36</f>
        <v>275.39999999999998</v>
      </c>
      <c r="E34" s="79">
        <f t="shared" si="75"/>
        <v>750.15899999999999</v>
      </c>
      <c r="F34" s="100">
        <f t="shared" si="75"/>
        <v>1025.559</v>
      </c>
      <c r="G34" s="78">
        <f t="shared" si="75"/>
        <v>15187.999</v>
      </c>
      <c r="H34" s="79">
        <f t="shared" si="75"/>
        <v>17388.937999999998</v>
      </c>
      <c r="I34" s="100">
        <f t="shared" si="75"/>
        <v>32576.936999999998</v>
      </c>
      <c r="J34" s="269">
        <f t="shared" si="75"/>
        <v>164.54</v>
      </c>
      <c r="K34" s="270">
        <f t="shared" si="75"/>
        <v>160.48000000000002</v>
      </c>
      <c r="L34" s="271">
        <f t="shared" si="75"/>
        <v>325.02</v>
      </c>
      <c r="M34" s="78">
        <f t="shared" si="75"/>
        <v>947.63099999999997</v>
      </c>
      <c r="N34" s="79">
        <f t="shared" si="75"/>
        <v>936.17700000000002</v>
      </c>
      <c r="O34" s="100">
        <f t="shared" si="75"/>
        <v>1883.808</v>
      </c>
      <c r="P34" s="78">
        <f t="shared" si="75"/>
        <v>275.39999999999998</v>
      </c>
      <c r="Q34" s="79">
        <f t="shared" si="75"/>
        <v>365.49</v>
      </c>
      <c r="R34" s="100">
        <f t="shared" si="75"/>
        <v>640.89</v>
      </c>
      <c r="S34" s="78">
        <f t="shared" si="75"/>
        <v>174.1</v>
      </c>
      <c r="T34" s="79">
        <f t="shared" si="75"/>
        <v>185.84000000000003</v>
      </c>
      <c r="U34" s="112">
        <f t="shared" si="75"/>
        <v>359.94000000000005</v>
      </c>
      <c r="V34" s="78">
        <f t="shared" si="75"/>
        <v>378.02699999999999</v>
      </c>
      <c r="W34" s="79">
        <f t="shared" si="75"/>
        <v>402.24199999999996</v>
      </c>
      <c r="X34" s="100">
        <f t="shared" si="75"/>
        <v>780.26899999999989</v>
      </c>
      <c r="Y34" s="78">
        <f t="shared" si="75"/>
        <v>55.3</v>
      </c>
      <c r="Z34" s="79">
        <f t="shared" si="75"/>
        <v>74.319000000000003</v>
      </c>
      <c r="AA34" s="100">
        <f t="shared" si="75"/>
        <v>129.619</v>
      </c>
      <c r="AB34" s="78">
        <f t="shared" si="75"/>
        <v>842.37400000000002</v>
      </c>
      <c r="AC34" s="79">
        <f t="shared" si="75"/>
        <v>991.71400000000006</v>
      </c>
      <c r="AD34" s="100">
        <f t="shared" si="75"/>
        <v>1834.088</v>
      </c>
      <c r="AE34" s="78">
        <f t="shared" si="75"/>
        <v>123.5</v>
      </c>
      <c r="AF34" s="79">
        <f t="shared" si="75"/>
        <v>117.71186000000002</v>
      </c>
      <c r="AG34" s="100">
        <f t="shared" si="75"/>
        <v>241.21186</v>
      </c>
      <c r="AH34" s="78">
        <f t="shared" si="75"/>
        <v>58.588999999999999</v>
      </c>
      <c r="AI34" s="79">
        <f t="shared" si="75"/>
        <v>72.611000000000004</v>
      </c>
      <c r="AJ34" s="100">
        <f t="shared" si="75"/>
        <v>131.19999999999999</v>
      </c>
      <c r="AK34" s="78">
        <f t="shared" si="75"/>
        <v>1105.865</v>
      </c>
      <c r="AL34" s="79">
        <f t="shared" si="75"/>
        <v>1664.87</v>
      </c>
      <c r="AM34" s="100">
        <f t="shared" si="75"/>
        <v>2770.7349999999997</v>
      </c>
      <c r="AN34" s="78">
        <f t="shared" si="75"/>
        <v>39.067</v>
      </c>
      <c r="AO34" s="79">
        <f t="shared" si="75"/>
        <v>46.366</v>
      </c>
      <c r="AP34" s="112">
        <f t="shared" si="75"/>
        <v>85.433000000000007</v>
      </c>
    </row>
    <row r="35" spans="1:42" s="55" customFormat="1" ht="15" x14ac:dyDescent="0.2">
      <c r="A35" s="84"/>
      <c r="B35" s="65" t="s">
        <v>115</v>
      </c>
      <c r="C35" s="66" t="s">
        <v>90</v>
      </c>
      <c r="D35" s="183">
        <v>275.39999999999998</v>
      </c>
      <c r="E35" s="184">
        <v>750.15899999999999</v>
      </c>
      <c r="F35" s="91">
        <f>D35+E35</f>
        <v>1025.559</v>
      </c>
      <c r="G35" s="183">
        <v>15066.713</v>
      </c>
      <c r="H35" s="184">
        <v>17250.266</v>
      </c>
      <c r="I35" s="91">
        <f>G35+H35</f>
        <v>32316.978999999999</v>
      </c>
      <c r="J35" s="261">
        <v>54.110999999999997</v>
      </c>
      <c r="K35" s="262">
        <v>50.05</v>
      </c>
      <c r="L35" s="272">
        <f>J35+K35</f>
        <v>104.161</v>
      </c>
      <c r="M35" s="183">
        <v>627.24699999999996</v>
      </c>
      <c r="N35" s="184">
        <v>481.85700000000003</v>
      </c>
      <c r="O35" s="91">
        <f>M35+N35</f>
        <v>1109.104</v>
      </c>
      <c r="P35" s="183">
        <v>106.8</v>
      </c>
      <c r="Q35" s="184">
        <v>116.89</v>
      </c>
      <c r="R35" s="91">
        <f>P35+Q35</f>
        <v>223.69</v>
      </c>
      <c r="S35" s="183">
        <v>15.9</v>
      </c>
      <c r="T35" s="184">
        <v>29.44</v>
      </c>
      <c r="U35" s="108">
        <f>S35+T35</f>
        <v>45.34</v>
      </c>
      <c r="V35" s="183">
        <v>371.62599999999998</v>
      </c>
      <c r="W35" s="184">
        <v>394.92599999999999</v>
      </c>
      <c r="X35" s="91">
        <f>V35+W35</f>
        <v>766.55199999999991</v>
      </c>
      <c r="Y35" s="183">
        <v>53.8</v>
      </c>
      <c r="Z35" s="184">
        <v>72.819000000000003</v>
      </c>
      <c r="AA35" s="91">
        <f>Y35+Z35</f>
        <v>126.619</v>
      </c>
      <c r="AB35" s="183">
        <v>804.40499999999997</v>
      </c>
      <c r="AC35" s="184">
        <v>956.33100000000002</v>
      </c>
      <c r="AD35" s="91">
        <f>AB35+AC35</f>
        <v>1760.7359999999999</v>
      </c>
      <c r="AE35" s="183">
        <v>82.2</v>
      </c>
      <c r="AF35" s="184">
        <v>106.31186000000001</v>
      </c>
      <c r="AG35" s="91">
        <f>AE35+AF35</f>
        <v>188.51186000000001</v>
      </c>
      <c r="AH35" s="183">
        <v>58.588999999999999</v>
      </c>
      <c r="AI35" s="184">
        <v>72.611000000000004</v>
      </c>
      <c r="AJ35" s="91">
        <f>AH35+AI35</f>
        <v>131.19999999999999</v>
      </c>
      <c r="AK35" s="71">
        <v>1089.1020000000001</v>
      </c>
      <c r="AL35" s="72">
        <v>1619.2139999999999</v>
      </c>
      <c r="AM35" s="91">
        <f>AK35+AL35</f>
        <v>2708.3159999999998</v>
      </c>
      <c r="AN35" s="71">
        <v>31.254000000000001</v>
      </c>
      <c r="AO35" s="72">
        <v>46.366</v>
      </c>
      <c r="AP35" s="110">
        <f>AN35+AO35</f>
        <v>77.62</v>
      </c>
    </row>
    <row r="36" spans="1:42" s="55" customFormat="1" ht="15" x14ac:dyDescent="0.2">
      <c r="A36" s="101"/>
      <c r="B36" s="102" t="s">
        <v>123</v>
      </c>
      <c r="C36" s="103" t="s">
        <v>90</v>
      </c>
      <c r="D36" s="124"/>
      <c r="E36" s="125"/>
      <c r="F36" s="104">
        <f>D36+E36</f>
        <v>0</v>
      </c>
      <c r="G36" s="188">
        <v>121.286</v>
      </c>
      <c r="H36" s="189">
        <v>138.672</v>
      </c>
      <c r="I36" s="104">
        <f>G36+H36</f>
        <v>259.95799999999997</v>
      </c>
      <c r="J36" s="274">
        <v>110.429</v>
      </c>
      <c r="K36" s="275">
        <v>110.43</v>
      </c>
      <c r="L36" s="273">
        <f>J36+K36</f>
        <v>220.85900000000001</v>
      </c>
      <c r="M36" s="188">
        <v>320.38400000000001</v>
      </c>
      <c r="N36" s="189">
        <v>454.32</v>
      </c>
      <c r="O36" s="104">
        <f>M36+N36</f>
        <v>774.70399999999995</v>
      </c>
      <c r="P36" s="188">
        <v>168.6</v>
      </c>
      <c r="Q36" s="189">
        <v>248.6</v>
      </c>
      <c r="R36" s="104">
        <f>P36+Q36</f>
        <v>417.2</v>
      </c>
      <c r="S36" s="188">
        <v>158.19999999999999</v>
      </c>
      <c r="T36" s="189">
        <v>156.40000000000003</v>
      </c>
      <c r="U36" s="104">
        <f>S36+T36</f>
        <v>314.60000000000002</v>
      </c>
      <c r="V36" s="188">
        <v>6.4009999999999998</v>
      </c>
      <c r="W36" s="189">
        <v>7.3159999999999998</v>
      </c>
      <c r="X36" s="104">
        <f>V36+W36</f>
        <v>13.716999999999999</v>
      </c>
      <c r="Y36" s="188">
        <v>1.5</v>
      </c>
      <c r="Z36" s="189">
        <v>1.5</v>
      </c>
      <c r="AA36" s="104">
        <f>Y36+Z36</f>
        <v>3</v>
      </c>
      <c r="AB36" s="188">
        <v>37.969000000000001</v>
      </c>
      <c r="AC36" s="189">
        <v>35.383000000000003</v>
      </c>
      <c r="AD36" s="104">
        <f>AB36+AC36</f>
        <v>73.352000000000004</v>
      </c>
      <c r="AE36" s="188">
        <v>41.3</v>
      </c>
      <c r="AF36" s="189">
        <v>11.400000000000006</v>
      </c>
      <c r="AG36" s="104">
        <f>AE36+AF36</f>
        <v>52.7</v>
      </c>
      <c r="AH36" s="124"/>
      <c r="AI36" s="125"/>
      <c r="AJ36" s="104">
        <f>AH36+AI36</f>
        <v>0</v>
      </c>
      <c r="AK36" s="124">
        <v>16.763000000000002</v>
      </c>
      <c r="AL36" s="125">
        <v>45.655999999999999</v>
      </c>
      <c r="AM36" s="104">
        <f>AK36+AL36</f>
        <v>62.418999999999997</v>
      </c>
      <c r="AN36" s="124">
        <v>7.8129999999999997</v>
      </c>
      <c r="AO36" s="125"/>
      <c r="AP36" s="113">
        <f>AN36+AO36</f>
        <v>7.8129999999999997</v>
      </c>
    </row>
    <row r="37" spans="1:42" hidden="1" x14ac:dyDescent="0.2"/>
    <row r="38" spans="1:42" hidden="1" x14ac:dyDescent="0.2">
      <c r="F38" s="120">
        <f>F34+F31+F24+F18+F15+F12-F8</f>
        <v>0</v>
      </c>
      <c r="I38" s="120">
        <f>I34+I31+I24+I18+I15+I12-I8</f>
        <v>190777.69999999995</v>
      </c>
      <c r="L38" s="105">
        <f>L34+L31+L24+L18+L15+L12-L8</f>
        <v>0</v>
      </c>
      <c r="O38" s="105">
        <f>O34+O31+O24+O18+O15+O12-O8</f>
        <v>0</v>
      </c>
      <c r="R38" s="105">
        <f>R34+R31+R24+R18+R15+R12-R8</f>
        <v>0</v>
      </c>
      <c r="U38" s="105">
        <f>U34+U31+U24+U18+U15+U12-U8</f>
        <v>0</v>
      </c>
      <c r="X38" s="105">
        <f>X34+X31+X24+X18+X15+X12-X8</f>
        <v>0</v>
      </c>
      <c r="AA38" s="105">
        <f>AA34+AA31+AA24+AA18+AA15+AA12-AA8</f>
        <v>0</v>
      </c>
      <c r="AD38" s="105">
        <f>AD34+AD31+AD24+AD18+AD15+AD12-AD8</f>
        <v>0</v>
      </c>
      <c r="AG38" s="105">
        <f>AG34+AG31+AG24+AG18+AG15+AG12-AG8</f>
        <v>-1.3999999646330252E-4</v>
      </c>
      <c r="AJ38" s="105">
        <f>AJ34+AJ31+AJ24+AJ18+AJ15+AJ12-AJ8</f>
        <v>0</v>
      </c>
      <c r="AM38" s="105">
        <f>AM34+AM31+AM24+AM18+AM15+AM12-AM8</f>
        <v>0</v>
      </c>
      <c r="AP38" s="105">
        <f>AP34+AP31+AP24+AP18+AP15+AP12-AP8</f>
        <v>0</v>
      </c>
    </row>
    <row r="39" spans="1:42" hidden="1" x14ac:dyDescent="0.2"/>
    <row r="40" spans="1:42" x14ac:dyDescent="0.2">
      <c r="J40" s="120"/>
      <c r="K40" s="120"/>
      <c r="M40" s="136"/>
      <c r="N40" s="136"/>
      <c r="O40" s="136"/>
      <c r="P40" s="136"/>
      <c r="Q40" s="136"/>
      <c r="R40" s="136"/>
    </row>
    <row r="41" spans="1:42" x14ac:dyDescent="0.2">
      <c r="D41" s="236"/>
      <c r="E41" s="236"/>
      <c r="G41" s="236"/>
      <c r="H41" s="236"/>
      <c r="M41" s="236"/>
      <c r="N41" s="236"/>
      <c r="S41" s="277"/>
      <c r="T41" s="277"/>
      <c r="U41" s="277"/>
      <c r="V41" s="236"/>
      <c r="W41" s="236"/>
      <c r="Y41" s="236"/>
      <c r="Z41" s="236"/>
      <c r="AB41" s="236"/>
      <c r="AC41" s="236"/>
      <c r="AE41" s="236"/>
      <c r="AF41" s="236"/>
      <c r="AH41" s="236"/>
      <c r="AI41" s="236"/>
      <c r="AK41" s="236"/>
      <c r="AL41" s="236"/>
      <c r="AN41" s="276"/>
      <c r="AO41" s="276"/>
    </row>
    <row r="42" spans="1:42" x14ac:dyDescent="0.2">
      <c r="D42" s="236"/>
      <c r="E42" s="236"/>
      <c r="F42" s="120"/>
      <c r="G42" s="236"/>
      <c r="H42" s="236"/>
      <c r="I42" s="120"/>
      <c r="L42" s="120"/>
      <c r="M42" s="236"/>
      <c r="N42" s="236"/>
      <c r="O42" s="120"/>
      <c r="R42" s="120"/>
      <c r="S42" s="277"/>
      <c r="T42" s="277"/>
      <c r="U42" s="120"/>
      <c r="V42" s="236"/>
      <c r="W42" s="236"/>
      <c r="Y42" s="236"/>
      <c r="Z42" s="236"/>
      <c r="AB42" s="236"/>
      <c r="AC42" s="236"/>
      <c r="AE42" s="236"/>
      <c r="AF42" s="236"/>
      <c r="AG42" s="120"/>
      <c r="AH42" s="236"/>
      <c r="AI42" s="236"/>
      <c r="AJ42" s="120"/>
      <c r="AK42" s="236"/>
      <c r="AL42" s="236"/>
      <c r="AM42" s="120"/>
      <c r="AN42" s="276"/>
      <c r="AO42" s="276"/>
      <c r="AP42" s="120"/>
    </row>
    <row r="43" spans="1:42" x14ac:dyDescent="0.2">
      <c r="B43" s="132"/>
      <c r="D43" s="278"/>
      <c r="E43" s="278"/>
      <c r="F43" s="133"/>
      <c r="G43" s="278"/>
      <c r="H43" s="278"/>
      <c r="I43" s="133"/>
      <c r="J43" s="278"/>
      <c r="K43" s="278"/>
      <c r="L43" s="133"/>
      <c r="M43" s="278"/>
      <c r="N43" s="278"/>
      <c r="O43" s="133"/>
      <c r="P43" s="278"/>
      <c r="Q43" s="278"/>
      <c r="R43" s="133"/>
      <c r="S43" s="133"/>
      <c r="T43" s="133"/>
      <c r="U43" s="133"/>
      <c r="V43" s="276"/>
      <c r="W43" s="276"/>
      <c r="Y43" s="276"/>
      <c r="Z43" s="276"/>
      <c r="AB43" s="278"/>
      <c r="AC43" s="278"/>
      <c r="AE43" s="278"/>
      <c r="AF43" s="278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</row>
    <row r="44" spans="1:42" x14ac:dyDescent="0.2">
      <c r="B44" s="132"/>
      <c r="D44" s="236"/>
      <c r="E44" s="236"/>
      <c r="G44" s="278"/>
      <c r="H44" s="278"/>
      <c r="J44" s="236"/>
      <c r="K44" s="236"/>
      <c r="M44" s="236"/>
      <c r="N44" s="236"/>
      <c r="P44" s="236"/>
      <c r="Q44" s="236"/>
      <c r="S44" s="276"/>
      <c r="T44" s="276"/>
      <c r="V44" s="276"/>
      <c r="W44" s="276"/>
      <c r="Y44" s="276"/>
      <c r="Z44" s="276"/>
      <c r="AB44" s="278"/>
      <c r="AC44" s="278"/>
      <c r="AE44" s="236"/>
      <c r="AF44" s="236"/>
      <c r="AH44" s="236"/>
      <c r="AI44" s="236"/>
      <c r="AK44" s="134"/>
      <c r="AL44" s="134"/>
      <c r="AN44" s="236"/>
      <c r="AO44" s="236"/>
    </row>
    <row r="45" spans="1:42" x14ac:dyDescent="0.2">
      <c r="J45" s="120"/>
      <c r="K45" s="120"/>
      <c r="L45" s="120"/>
      <c r="M45" s="120"/>
      <c r="N45" s="120"/>
      <c r="S45" s="276"/>
      <c r="T45" s="276"/>
      <c r="AH45" s="236"/>
      <c r="AI45" s="236"/>
      <c r="AK45" s="279"/>
      <c r="AL45" s="279"/>
      <c r="AM45" s="133"/>
      <c r="AN45" s="236"/>
      <c r="AO45" s="236"/>
    </row>
    <row r="46" spans="1:42" x14ac:dyDescent="0.2">
      <c r="B46" s="132"/>
      <c r="G46" s="134"/>
      <c r="H46" s="134"/>
      <c r="I46" s="134"/>
      <c r="J46" s="133"/>
      <c r="K46" s="133"/>
      <c r="L46" s="133"/>
    </row>
    <row r="47" spans="1:42" x14ac:dyDescent="0.2">
      <c r="B47" s="132"/>
      <c r="G47" s="120"/>
      <c r="H47" s="120"/>
      <c r="I47" s="120"/>
    </row>
  </sheetData>
  <mergeCells count="44">
    <mergeCell ref="Y3:AA3"/>
    <mergeCell ref="A1:U1"/>
    <mergeCell ref="A2:A6"/>
    <mergeCell ref="B2:B6"/>
    <mergeCell ref="C2:C6"/>
    <mergeCell ref="D2:AP2"/>
    <mergeCell ref="D3:F3"/>
    <mergeCell ref="G3:I3"/>
    <mergeCell ref="J3:L3"/>
    <mergeCell ref="M3:O3"/>
    <mergeCell ref="P3:R3"/>
    <mergeCell ref="AK3:AM3"/>
    <mergeCell ref="AN3:AP3"/>
    <mergeCell ref="D4:F4"/>
    <mergeCell ref="G4:I4"/>
    <mergeCell ref="AB3:AD3"/>
    <mergeCell ref="AE3:AG3"/>
    <mergeCell ref="AH3:AJ3"/>
    <mergeCell ref="AB4:AD4"/>
    <mergeCell ref="AE4:AG4"/>
    <mergeCell ref="AH4:AJ4"/>
    <mergeCell ref="J4:L4"/>
    <mergeCell ref="M4:O4"/>
    <mergeCell ref="V3:X3"/>
    <mergeCell ref="D5:F5"/>
    <mergeCell ref="G5:I5"/>
    <mergeCell ref="J5:L5"/>
    <mergeCell ref="M5:O5"/>
    <mergeCell ref="P5:R5"/>
    <mergeCell ref="P4:R4"/>
    <mergeCell ref="S4:U4"/>
    <mergeCell ref="V4:X4"/>
    <mergeCell ref="S3:U3"/>
    <mergeCell ref="AK4:AM4"/>
    <mergeCell ref="AN4:AP4"/>
    <mergeCell ref="AK5:AM5"/>
    <mergeCell ref="AN5:AP5"/>
    <mergeCell ref="S5:U5"/>
    <mergeCell ref="V5:X5"/>
    <mergeCell ref="Y5:AA5"/>
    <mergeCell ref="AB5:AD5"/>
    <mergeCell ref="AE5:AG5"/>
    <mergeCell ref="AH5:AJ5"/>
    <mergeCell ref="Y4:AA4"/>
  </mergeCells>
  <printOptions horizontalCentered="1"/>
  <pageMargins left="0.39370078740157483" right="0.39370078740157483" top="1.1811023622047245" bottom="0.39370078740157483" header="0.31496062992125984" footer="0.31496062992125984"/>
  <pageSetup paperSize="9" scale="42" fitToWidth="2" orientation="landscape" blackAndWhite="1" r:id="rId1"/>
  <colBreaks count="1" manualBreakCount="1">
    <brk id="2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P87"/>
  <sheetViews>
    <sheetView view="pageBreakPreview" zoomScale="85" zoomScaleNormal="100" zoomScaleSheetLayoutView="85" workbookViewId="0">
      <pane xSplit="3" ySplit="7" topLeftCell="D43" activePane="bottomRight" state="frozen"/>
      <selection activeCell="A17" sqref="A17"/>
      <selection pane="topRight" activeCell="A17" sqref="A17"/>
      <selection pane="bottomLeft" activeCell="A17" sqref="A17"/>
      <selection pane="bottomRight" activeCell="F51" sqref="F51"/>
    </sheetView>
  </sheetViews>
  <sheetFormatPr defaultColWidth="9.140625" defaultRowHeight="12.75" x14ac:dyDescent="0.2"/>
  <cols>
    <col min="1" max="1" width="6.7109375" style="105" customWidth="1"/>
    <col min="2" max="2" width="41" style="105" customWidth="1"/>
    <col min="3" max="3" width="10.7109375" style="105" customWidth="1"/>
    <col min="4" max="5" width="12.85546875" style="105" customWidth="1"/>
    <col min="6" max="6" width="10.7109375" style="105" customWidth="1"/>
    <col min="7" max="8" width="13.28515625" style="105" customWidth="1"/>
    <col min="9" max="9" width="11.7109375" style="105" customWidth="1"/>
    <col min="10" max="11" width="14" style="105" customWidth="1"/>
    <col min="12" max="12" width="11.7109375" style="105" customWidth="1"/>
    <col min="13" max="14" width="13.140625" style="105" customWidth="1"/>
    <col min="15" max="15" width="12.42578125" style="105" customWidth="1"/>
    <col min="16" max="17" width="14.42578125" style="105" customWidth="1"/>
    <col min="18" max="18" width="11.7109375" style="105" customWidth="1"/>
    <col min="19" max="20" width="13.28515625" style="105" customWidth="1"/>
    <col min="21" max="21" width="11.7109375" style="105" customWidth="1"/>
    <col min="22" max="23" width="13.5703125" style="105" customWidth="1"/>
    <col min="24" max="24" width="11.7109375" style="105" customWidth="1"/>
    <col min="25" max="25" width="14.140625" style="105" customWidth="1"/>
    <col min="26" max="26" width="13.28515625" style="105" customWidth="1"/>
    <col min="27" max="27" width="11.7109375" style="105" customWidth="1"/>
    <col min="28" max="29" width="13.5703125" style="105" customWidth="1"/>
    <col min="30" max="30" width="11.7109375" style="105" customWidth="1"/>
    <col min="31" max="32" width="13" style="105" customWidth="1"/>
    <col min="33" max="33" width="11.7109375" style="105" customWidth="1"/>
    <col min="34" max="35" width="14" style="105" customWidth="1"/>
    <col min="36" max="36" width="11.7109375" style="105" customWidth="1"/>
    <col min="37" max="38" width="13.140625" style="105" customWidth="1"/>
    <col min="39" max="39" width="11.7109375" style="105" customWidth="1"/>
    <col min="40" max="41" width="13.5703125" style="105" customWidth="1"/>
    <col min="42" max="42" width="11.7109375" style="105" customWidth="1"/>
    <col min="43" max="16384" width="9.140625" style="105"/>
  </cols>
  <sheetData>
    <row r="1" spans="1:42" s="47" customFormat="1" ht="18.75" x14ac:dyDescent="0.3">
      <c r="A1" s="445" t="s">
        <v>83</v>
      </c>
      <c r="B1" s="445"/>
      <c r="C1" s="445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</row>
    <row r="2" spans="1:42" s="47" customFormat="1" ht="18.75" x14ac:dyDescent="0.3">
      <c r="A2" s="447" t="s">
        <v>84</v>
      </c>
      <c r="B2" s="450" t="s">
        <v>85</v>
      </c>
      <c r="C2" s="450" t="s">
        <v>30</v>
      </c>
      <c r="D2" s="443" t="s">
        <v>206</v>
      </c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443"/>
      <c r="AO2" s="443"/>
      <c r="AP2" s="444"/>
    </row>
    <row r="3" spans="1:42" s="48" customFormat="1" ht="14.25" customHeight="1" x14ac:dyDescent="0.2">
      <c r="A3" s="448"/>
      <c r="B3" s="450"/>
      <c r="C3" s="450"/>
      <c r="D3" s="423" t="s">
        <v>125</v>
      </c>
      <c r="E3" s="424"/>
      <c r="F3" s="425"/>
      <c r="G3" s="426" t="s">
        <v>124</v>
      </c>
      <c r="H3" s="427"/>
      <c r="I3" s="428"/>
      <c r="J3" s="429" t="s">
        <v>126</v>
      </c>
      <c r="K3" s="430"/>
      <c r="L3" s="431"/>
      <c r="M3" s="432" t="s">
        <v>127</v>
      </c>
      <c r="N3" s="433"/>
      <c r="O3" s="434"/>
      <c r="P3" s="435" t="s">
        <v>128</v>
      </c>
      <c r="Q3" s="436"/>
      <c r="R3" s="437"/>
      <c r="S3" s="420" t="s">
        <v>129</v>
      </c>
      <c r="T3" s="421"/>
      <c r="U3" s="422"/>
      <c r="V3" s="420" t="s">
        <v>130</v>
      </c>
      <c r="W3" s="421"/>
      <c r="X3" s="422"/>
      <c r="Y3" s="420" t="s">
        <v>131</v>
      </c>
      <c r="Z3" s="421"/>
      <c r="AA3" s="422"/>
      <c r="AB3" s="420" t="s">
        <v>132</v>
      </c>
      <c r="AC3" s="421"/>
      <c r="AD3" s="422"/>
      <c r="AE3" s="420" t="s">
        <v>133</v>
      </c>
      <c r="AF3" s="421"/>
      <c r="AG3" s="422"/>
      <c r="AH3" s="420" t="s">
        <v>134</v>
      </c>
      <c r="AI3" s="421"/>
      <c r="AJ3" s="422"/>
      <c r="AK3" s="420" t="s">
        <v>135</v>
      </c>
      <c r="AL3" s="421"/>
      <c r="AM3" s="422"/>
      <c r="AN3" s="420" t="s">
        <v>136</v>
      </c>
      <c r="AO3" s="421"/>
      <c r="AP3" s="422"/>
    </row>
    <row r="4" spans="1:42" s="48" customFormat="1" ht="15" customHeight="1" x14ac:dyDescent="0.2">
      <c r="A4" s="448"/>
      <c r="B4" s="450"/>
      <c r="C4" s="450"/>
      <c r="D4" s="451" t="s">
        <v>154</v>
      </c>
      <c r="E4" s="451"/>
      <c r="F4" s="452"/>
      <c r="G4" s="453" t="s">
        <v>154</v>
      </c>
      <c r="H4" s="453"/>
      <c r="I4" s="454"/>
      <c r="J4" s="455" t="s">
        <v>154</v>
      </c>
      <c r="K4" s="455"/>
      <c r="L4" s="456"/>
      <c r="M4" s="457" t="s">
        <v>154</v>
      </c>
      <c r="N4" s="457"/>
      <c r="O4" s="458"/>
      <c r="P4" s="459" t="s">
        <v>154</v>
      </c>
      <c r="Q4" s="459"/>
      <c r="R4" s="460"/>
      <c r="S4" s="461" t="s">
        <v>154</v>
      </c>
      <c r="T4" s="438"/>
      <c r="U4" s="439"/>
      <c r="V4" s="438" t="s">
        <v>154</v>
      </c>
      <c r="W4" s="438"/>
      <c r="X4" s="439"/>
      <c r="Y4" s="438" t="s">
        <v>154</v>
      </c>
      <c r="Z4" s="438"/>
      <c r="AA4" s="439"/>
      <c r="AB4" s="438" t="s">
        <v>154</v>
      </c>
      <c r="AC4" s="438"/>
      <c r="AD4" s="439"/>
      <c r="AE4" s="438" t="s">
        <v>154</v>
      </c>
      <c r="AF4" s="438"/>
      <c r="AG4" s="439"/>
      <c r="AH4" s="438" t="s">
        <v>154</v>
      </c>
      <c r="AI4" s="438"/>
      <c r="AJ4" s="439"/>
      <c r="AK4" s="438" t="s">
        <v>154</v>
      </c>
      <c r="AL4" s="438"/>
      <c r="AM4" s="439"/>
      <c r="AN4" s="438" t="s">
        <v>154</v>
      </c>
      <c r="AO4" s="438"/>
      <c r="AP4" s="439"/>
    </row>
    <row r="5" spans="1:42" s="48" customFormat="1" ht="15" customHeight="1" x14ac:dyDescent="0.2">
      <c r="A5" s="448"/>
      <c r="B5" s="450"/>
      <c r="C5" s="450"/>
      <c r="D5" s="462" t="s">
        <v>82</v>
      </c>
      <c r="E5" s="463"/>
      <c r="F5" s="464"/>
      <c r="G5" s="465" t="s">
        <v>82</v>
      </c>
      <c r="H5" s="466"/>
      <c r="I5" s="467"/>
      <c r="J5" s="468" t="s">
        <v>82</v>
      </c>
      <c r="K5" s="469"/>
      <c r="L5" s="470"/>
      <c r="M5" s="471" t="s">
        <v>82</v>
      </c>
      <c r="N5" s="472"/>
      <c r="O5" s="473"/>
      <c r="P5" s="474" t="s">
        <v>82</v>
      </c>
      <c r="Q5" s="475"/>
      <c r="R5" s="476"/>
      <c r="S5" s="440" t="s">
        <v>82</v>
      </c>
      <c r="T5" s="441"/>
      <c r="U5" s="442"/>
      <c r="V5" s="440" t="s">
        <v>82</v>
      </c>
      <c r="W5" s="441"/>
      <c r="X5" s="442"/>
      <c r="Y5" s="440" t="s">
        <v>82</v>
      </c>
      <c r="Z5" s="441"/>
      <c r="AA5" s="442"/>
      <c r="AB5" s="440" t="s">
        <v>82</v>
      </c>
      <c r="AC5" s="441"/>
      <c r="AD5" s="442"/>
      <c r="AE5" s="440" t="s">
        <v>82</v>
      </c>
      <c r="AF5" s="441"/>
      <c r="AG5" s="442"/>
      <c r="AH5" s="440" t="s">
        <v>82</v>
      </c>
      <c r="AI5" s="441"/>
      <c r="AJ5" s="442"/>
      <c r="AK5" s="440" t="s">
        <v>82</v>
      </c>
      <c r="AL5" s="441"/>
      <c r="AM5" s="442"/>
      <c r="AN5" s="440" t="s">
        <v>82</v>
      </c>
      <c r="AO5" s="441"/>
      <c r="AP5" s="442"/>
    </row>
    <row r="6" spans="1:42" s="48" customFormat="1" ht="15" x14ac:dyDescent="0.2">
      <c r="A6" s="449"/>
      <c r="B6" s="450"/>
      <c r="C6" s="450"/>
      <c r="D6" s="49" t="s">
        <v>87</v>
      </c>
      <c r="E6" s="49" t="s">
        <v>88</v>
      </c>
      <c r="F6" s="49" t="s">
        <v>86</v>
      </c>
      <c r="G6" s="50" t="s">
        <v>87</v>
      </c>
      <c r="H6" s="50" t="s">
        <v>88</v>
      </c>
      <c r="I6" s="50" t="s">
        <v>86</v>
      </c>
      <c r="J6" s="51" t="s">
        <v>87</v>
      </c>
      <c r="K6" s="51" t="s">
        <v>88</v>
      </c>
      <c r="L6" s="51" t="s">
        <v>86</v>
      </c>
      <c r="M6" s="52" t="s">
        <v>87</v>
      </c>
      <c r="N6" s="52" t="s">
        <v>88</v>
      </c>
      <c r="O6" s="52" t="s">
        <v>86</v>
      </c>
      <c r="P6" s="53" t="s">
        <v>87</v>
      </c>
      <c r="Q6" s="53" t="s">
        <v>88</v>
      </c>
      <c r="R6" s="53" t="s">
        <v>86</v>
      </c>
      <c r="S6" s="54" t="s">
        <v>87</v>
      </c>
      <c r="T6" s="54" t="s">
        <v>88</v>
      </c>
      <c r="U6" s="54" t="s">
        <v>86</v>
      </c>
      <c r="V6" s="54" t="s">
        <v>87</v>
      </c>
      <c r="W6" s="54" t="s">
        <v>88</v>
      </c>
      <c r="X6" s="54" t="s">
        <v>86</v>
      </c>
      <c r="Y6" s="54" t="s">
        <v>87</v>
      </c>
      <c r="Z6" s="54" t="s">
        <v>88</v>
      </c>
      <c r="AA6" s="54" t="s">
        <v>86</v>
      </c>
      <c r="AB6" s="54" t="s">
        <v>87</v>
      </c>
      <c r="AC6" s="54" t="s">
        <v>88</v>
      </c>
      <c r="AD6" s="54" t="s">
        <v>86</v>
      </c>
      <c r="AE6" s="54" t="s">
        <v>87</v>
      </c>
      <c r="AF6" s="54" t="s">
        <v>88</v>
      </c>
      <c r="AG6" s="54" t="s">
        <v>86</v>
      </c>
      <c r="AH6" s="54" t="s">
        <v>87</v>
      </c>
      <c r="AI6" s="54" t="s">
        <v>88</v>
      </c>
      <c r="AJ6" s="54" t="s">
        <v>86</v>
      </c>
      <c r="AK6" s="54" t="s">
        <v>87</v>
      </c>
      <c r="AL6" s="54" t="s">
        <v>88</v>
      </c>
      <c r="AM6" s="54" t="s">
        <v>86</v>
      </c>
      <c r="AN6" s="54" t="s">
        <v>87</v>
      </c>
      <c r="AO6" s="54" t="s">
        <v>88</v>
      </c>
      <c r="AP6" s="54" t="s">
        <v>86</v>
      </c>
    </row>
    <row r="7" spans="1:42" s="55" customFormat="1" ht="15" x14ac:dyDescent="0.2">
      <c r="A7" s="280">
        <v>1</v>
      </c>
      <c r="B7" s="128">
        <f>A7+1</f>
        <v>2</v>
      </c>
      <c r="C7" s="128">
        <f t="shared" ref="C7:AP7" si="0">B7+1</f>
        <v>3</v>
      </c>
      <c r="D7" s="128">
        <f t="shared" si="0"/>
        <v>4</v>
      </c>
      <c r="E7" s="128">
        <f t="shared" si="0"/>
        <v>5</v>
      </c>
      <c r="F7" s="128">
        <f t="shared" si="0"/>
        <v>6</v>
      </c>
      <c r="G7" s="128">
        <f t="shared" si="0"/>
        <v>7</v>
      </c>
      <c r="H7" s="128">
        <f t="shared" si="0"/>
        <v>8</v>
      </c>
      <c r="I7" s="128">
        <f t="shared" si="0"/>
        <v>9</v>
      </c>
      <c r="J7" s="128">
        <f t="shared" si="0"/>
        <v>10</v>
      </c>
      <c r="K7" s="128">
        <f t="shared" si="0"/>
        <v>11</v>
      </c>
      <c r="L7" s="128">
        <f t="shared" si="0"/>
        <v>12</v>
      </c>
      <c r="M7" s="128">
        <f t="shared" si="0"/>
        <v>13</v>
      </c>
      <c r="N7" s="128">
        <f t="shared" si="0"/>
        <v>14</v>
      </c>
      <c r="O7" s="128">
        <f t="shared" si="0"/>
        <v>15</v>
      </c>
      <c r="P7" s="128">
        <f t="shared" si="0"/>
        <v>16</v>
      </c>
      <c r="Q7" s="128">
        <f t="shared" si="0"/>
        <v>17</v>
      </c>
      <c r="R7" s="128">
        <f t="shared" si="0"/>
        <v>18</v>
      </c>
      <c r="S7" s="174">
        <f t="shared" si="0"/>
        <v>19</v>
      </c>
      <c r="T7" s="174">
        <f t="shared" si="0"/>
        <v>20</v>
      </c>
      <c r="U7" s="174">
        <f t="shared" si="0"/>
        <v>21</v>
      </c>
      <c r="V7" s="128">
        <f t="shared" si="0"/>
        <v>22</v>
      </c>
      <c r="W7" s="128">
        <f t="shared" si="0"/>
        <v>23</v>
      </c>
      <c r="X7" s="128">
        <f t="shared" si="0"/>
        <v>24</v>
      </c>
      <c r="Y7" s="128">
        <f t="shared" si="0"/>
        <v>25</v>
      </c>
      <c r="Z7" s="128">
        <f t="shared" si="0"/>
        <v>26</v>
      </c>
      <c r="AA7" s="128">
        <f t="shared" si="0"/>
        <v>27</v>
      </c>
      <c r="AB7" s="128">
        <f t="shared" si="0"/>
        <v>28</v>
      </c>
      <c r="AC7" s="128">
        <f t="shared" si="0"/>
        <v>29</v>
      </c>
      <c r="AD7" s="128">
        <f t="shared" si="0"/>
        <v>30</v>
      </c>
      <c r="AE7" s="128">
        <f t="shared" si="0"/>
        <v>31</v>
      </c>
      <c r="AF7" s="128">
        <f t="shared" si="0"/>
        <v>32</v>
      </c>
      <c r="AG7" s="128">
        <f t="shared" si="0"/>
        <v>33</v>
      </c>
      <c r="AH7" s="128">
        <f t="shared" si="0"/>
        <v>34</v>
      </c>
      <c r="AI7" s="128">
        <f t="shared" si="0"/>
        <v>35</v>
      </c>
      <c r="AJ7" s="128">
        <f t="shared" si="0"/>
        <v>36</v>
      </c>
      <c r="AK7" s="128">
        <f t="shared" si="0"/>
        <v>37</v>
      </c>
      <c r="AL7" s="128">
        <f t="shared" si="0"/>
        <v>38</v>
      </c>
      <c r="AM7" s="128">
        <f t="shared" si="0"/>
        <v>39</v>
      </c>
      <c r="AN7" s="128">
        <f t="shared" si="0"/>
        <v>40</v>
      </c>
      <c r="AO7" s="128">
        <f t="shared" si="0"/>
        <v>41</v>
      </c>
      <c r="AP7" s="128">
        <f t="shared" si="0"/>
        <v>42</v>
      </c>
    </row>
    <row r="8" spans="1:42" s="55" customFormat="1" ht="28.5" x14ac:dyDescent="0.2">
      <c r="A8" s="176" t="s">
        <v>5</v>
      </c>
      <c r="B8" s="56" t="s">
        <v>89</v>
      </c>
      <c r="C8" s="57" t="s">
        <v>90</v>
      </c>
      <c r="D8" s="58">
        <f t="shared" ref="D8:F8" si="1">D9+D10</f>
        <v>15667.458247856364</v>
      </c>
      <c r="E8" s="59">
        <f t="shared" si="1"/>
        <v>15667.458247856364</v>
      </c>
      <c r="F8" s="360">
        <f t="shared" si="1"/>
        <v>31334.916495712729</v>
      </c>
      <c r="G8" s="58">
        <f t="shared" ref="G8:L8" si="2">G9+G10</f>
        <v>40208.165000000001</v>
      </c>
      <c r="H8" s="59">
        <f t="shared" si="2"/>
        <v>40208.165000000001</v>
      </c>
      <c r="I8" s="360">
        <f t="shared" si="2"/>
        <v>80416.33</v>
      </c>
      <c r="J8" s="58">
        <f t="shared" si="2"/>
        <v>10723.710332219001</v>
      </c>
      <c r="K8" s="59">
        <f t="shared" si="2"/>
        <v>10723.710332219001</v>
      </c>
      <c r="L8" s="360">
        <f t="shared" si="2"/>
        <v>21447.420664438003</v>
      </c>
      <c r="M8" s="58">
        <f t="shared" ref="M8:O8" si="3">M9+M10</f>
        <v>64116.789984878233</v>
      </c>
      <c r="N8" s="59">
        <f t="shared" si="3"/>
        <v>64116.789984878233</v>
      </c>
      <c r="O8" s="360">
        <f t="shared" si="3"/>
        <v>128233.57996975647</v>
      </c>
      <c r="P8" s="58">
        <f t="shared" ref="P8:R8" si="4">P9+P10</f>
        <v>10593.079159511999</v>
      </c>
      <c r="Q8" s="59">
        <f t="shared" si="4"/>
        <v>10593.079159511999</v>
      </c>
      <c r="R8" s="360">
        <f t="shared" si="4"/>
        <v>21186.158319023998</v>
      </c>
      <c r="S8" s="58">
        <f t="shared" ref="S8:U8" si="5">S9+S10</f>
        <v>7107.3189236166654</v>
      </c>
      <c r="T8" s="59">
        <f t="shared" si="5"/>
        <v>7107.3189236166654</v>
      </c>
      <c r="U8" s="360">
        <f t="shared" si="5"/>
        <v>14214.637847233331</v>
      </c>
      <c r="V8" s="58">
        <f t="shared" ref="V8:X8" si="6">V9+V10</f>
        <v>8485.1995385480004</v>
      </c>
      <c r="W8" s="59">
        <f t="shared" si="6"/>
        <v>8485.1995385480004</v>
      </c>
      <c r="X8" s="360">
        <f t="shared" si="6"/>
        <v>16970.399077096001</v>
      </c>
      <c r="Y8" s="58">
        <f t="shared" ref="Y8:AA8" si="7">Y9+Y10</f>
        <v>2603.1567394066669</v>
      </c>
      <c r="Z8" s="59">
        <f t="shared" si="7"/>
        <v>2603.1567394066669</v>
      </c>
      <c r="AA8" s="360">
        <f t="shared" si="7"/>
        <v>5206.3134788133339</v>
      </c>
      <c r="AB8" s="58">
        <f t="shared" ref="AB8:AD8" si="8">AB9+AB10</f>
        <v>21422.432153828671</v>
      </c>
      <c r="AC8" s="59">
        <f t="shared" si="8"/>
        <v>21422.432153828671</v>
      </c>
      <c r="AD8" s="360">
        <f t="shared" si="8"/>
        <v>42844.864307657343</v>
      </c>
      <c r="AE8" s="58">
        <f t="shared" ref="AE8:AG8" si="9">AE9+AE10</f>
        <v>17934.331474696002</v>
      </c>
      <c r="AF8" s="59">
        <f t="shared" si="9"/>
        <v>17934.331474696002</v>
      </c>
      <c r="AG8" s="360">
        <f t="shared" si="9"/>
        <v>35868.662949392005</v>
      </c>
      <c r="AH8" s="58">
        <f t="shared" ref="AH8:AJ8" si="10">AH9+AH10</f>
        <v>21680.801339500002</v>
      </c>
      <c r="AI8" s="59">
        <f t="shared" si="10"/>
        <v>21680.801339500002</v>
      </c>
      <c r="AJ8" s="360">
        <f t="shared" si="10"/>
        <v>43361.602679000003</v>
      </c>
      <c r="AK8" s="58">
        <f t="shared" ref="AK8:AM8" si="11">AK9+AK10</f>
        <v>85088.667554862754</v>
      </c>
      <c r="AL8" s="59">
        <f t="shared" si="11"/>
        <v>85088.667554862754</v>
      </c>
      <c r="AM8" s="360">
        <f t="shared" si="11"/>
        <v>170177.33510972551</v>
      </c>
      <c r="AN8" s="58">
        <f t="shared" ref="AN8:AP8" si="12">AN9+AN10</f>
        <v>9042.3337358333338</v>
      </c>
      <c r="AO8" s="59">
        <f t="shared" si="12"/>
        <v>9042.3337358333338</v>
      </c>
      <c r="AP8" s="360">
        <f t="shared" si="12"/>
        <v>18084.667471666668</v>
      </c>
    </row>
    <row r="9" spans="1:42" s="55" customFormat="1" ht="15" x14ac:dyDescent="0.2">
      <c r="A9" s="61" t="s">
        <v>33</v>
      </c>
      <c r="B9" s="62" t="s">
        <v>91</v>
      </c>
      <c r="C9" s="63" t="s">
        <v>90</v>
      </c>
      <c r="D9" s="71">
        <f>[2]Канч!$M$12*D$58</f>
        <v>0</v>
      </c>
      <c r="E9" s="72">
        <f>+D9</f>
        <v>0</v>
      </c>
      <c r="F9" s="108">
        <f>D9+E9</f>
        <v>0</v>
      </c>
      <c r="G9" s="71"/>
      <c r="H9" s="72"/>
      <c r="I9" s="108">
        <f>G9+H9</f>
        <v>0</v>
      </c>
      <c r="J9" s="71">
        <f>[2]Алькат!$M$12*J$58</f>
        <v>0</v>
      </c>
      <c r="K9" s="72">
        <f>+J9</f>
        <v>0</v>
      </c>
      <c r="L9" s="108">
        <f>J9+K9</f>
        <v>0</v>
      </c>
      <c r="M9" s="71">
        <f>[2]Беринг!$M$12*M$58</f>
        <v>0</v>
      </c>
      <c r="N9" s="72">
        <f>+M9</f>
        <v>0</v>
      </c>
      <c r="O9" s="108">
        <f>M9+N9</f>
        <v>0</v>
      </c>
      <c r="P9" s="71">
        <f>[2]Мейнып!$M$12*P$58</f>
        <v>0</v>
      </c>
      <c r="Q9" s="72">
        <f>+P9</f>
        <v>0</v>
      </c>
      <c r="R9" s="108">
        <f>P9+Q9</f>
        <v>0</v>
      </c>
      <c r="S9" s="71">
        <f>[2]Хатыр!$M$12*S$58</f>
        <v>0</v>
      </c>
      <c r="T9" s="72">
        <f>+S9</f>
        <v>0</v>
      </c>
      <c r="U9" s="108">
        <f>S9+T9</f>
        <v>0</v>
      </c>
      <c r="V9" s="71">
        <f>[2]Хатыр!$M$12*V$58</f>
        <v>0</v>
      </c>
      <c r="W9" s="72">
        <f>+V9</f>
        <v>0</v>
      </c>
      <c r="X9" s="108">
        <f>V9+W9</f>
        <v>0</v>
      </c>
      <c r="Y9" s="71">
        <f>[2]Снежн!$M$12*Y$58</f>
        <v>0</v>
      </c>
      <c r="Z9" s="72">
        <f>+Y9</f>
        <v>0</v>
      </c>
      <c r="AA9" s="108">
        <f>Y9+Z9</f>
        <v>0</v>
      </c>
      <c r="AB9" s="71">
        <f>[2]Марк!$M$12*AB$58</f>
        <v>0</v>
      </c>
      <c r="AC9" s="72">
        <f>+AB9</f>
        <v>0</v>
      </c>
      <c r="AD9" s="108">
        <f>AB9+AC9</f>
        <v>0</v>
      </c>
      <c r="AE9" s="71">
        <f>[2]У_Бел!$M$12*AE$58</f>
        <v>0</v>
      </c>
      <c r="AF9" s="72">
        <f>+AE9</f>
        <v>0</v>
      </c>
      <c r="AG9" s="108">
        <f>AE9+AF9</f>
        <v>0</v>
      </c>
      <c r="AH9" s="71">
        <f>[2]Н_Чапл!$M$12*AH$58</f>
        <v>0</v>
      </c>
      <c r="AI9" s="72">
        <f>+AH9</f>
        <v>0</v>
      </c>
      <c r="AJ9" s="108">
        <f>AH9+AI9</f>
        <v>0</v>
      </c>
      <c r="AK9" s="71">
        <f>[2]Провид!$M$12*AK$58</f>
        <v>0</v>
      </c>
      <c r="AL9" s="72">
        <f>+AK9</f>
        <v>0</v>
      </c>
      <c r="AM9" s="108">
        <f>AK9+AL9</f>
        <v>0</v>
      </c>
      <c r="AN9" s="71">
        <f>[2]Сирен!$M$12*AN$58</f>
        <v>0</v>
      </c>
      <c r="AO9" s="72">
        <f>+AN9</f>
        <v>0</v>
      </c>
      <c r="AP9" s="108">
        <f>AN9+AO9</f>
        <v>0</v>
      </c>
    </row>
    <row r="10" spans="1:42" s="55" customFormat="1" ht="15" x14ac:dyDescent="0.2">
      <c r="A10" s="84" t="s">
        <v>34</v>
      </c>
      <c r="B10" s="65" t="s">
        <v>92</v>
      </c>
      <c r="C10" s="66" t="s">
        <v>90</v>
      </c>
      <c r="D10" s="71">
        <f>[2]Канч!$M$13*D$58</f>
        <v>15667.458247856364</v>
      </c>
      <c r="E10" s="72">
        <f>+D10</f>
        <v>15667.458247856364</v>
      </c>
      <c r="F10" s="108">
        <f>D10+E10</f>
        <v>31334.916495712729</v>
      </c>
      <c r="G10" s="71">
        <f>[2]У_Копи!$M$13/2</f>
        <v>40208.165000000001</v>
      </c>
      <c r="H10" s="72">
        <f>+G10</f>
        <v>40208.165000000001</v>
      </c>
      <c r="I10" s="108">
        <f>G10+H10</f>
        <v>80416.33</v>
      </c>
      <c r="J10" s="71">
        <f>[2]Алькат!$M$13*J$58</f>
        <v>10723.710332219001</v>
      </c>
      <c r="K10" s="72">
        <f>+J10</f>
        <v>10723.710332219001</v>
      </c>
      <c r="L10" s="108">
        <f>J10+K10</f>
        <v>21447.420664438003</v>
      </c>
      <c r="M10" s="71">
        <f>[2]Беринг!$M$13*M$58</f>
        <v>64116.789984878233</v>
      </c>
      <c r="N10" s="72">
        <f>+M10</f>
        <v>64116.789984878233</v>
      </c>
      <c r="O10" s="108">
        <f>M10+N10</f>
        <v>128233.57996975647</v>
      </c>
      <c r="P10" s="71">
        <f>[2]Мейнып!$M$13*P$58</f>
        <v>10593.079159511999</v>
      </c>
      <c r="Q10" s="72">
        <f>+P10</f>
        <v>10593.079159511999</v>
      </c>
      <c r="R10" s="108">
        <f>P10+Q10</f>
        <v>21186.158319023998</v>
      </c>
      <c r="S10" s="71">
        <f>[2]Хатыр!$M$13*S$58</f>
        <v>7107.3189236166654</v>
      </c>
      <c r="T10" s="72">
        <f>+S10</f>
        <v>7107.3189236166654</v>
      </c>
      <c r="U10" s="108">
        <f>S10+T10</f>
        <v>14214.637847233331</v>
      </c>
      <c r="V10" s="71">
        <f>[2]Ваеги!$M$13*V$58</f>
        <v>8485.1995385480004</v>
      </c>
      <c r="W10" s="72">
        <f>+V10</f>
        <v>8485.1995385480004</v>
      </c>
      <c r="X10" s="108">
        <f>V10+W10</f>
        <v>16970.399077096001</v>
      </c>
      <c r="Y10" s="71">
        <f>[2]Снежн!$M$13*Y$58</f>
        <v>2603.1567394066669</v>
      </c>
      <c r="Z10" s="72">
        <f>+Y10</f>
        <v>2603.1567394066669</v>
      </c>
      <c r="AA10" s="108">
        <f>Y10+Z10</f>
        <v>5206.3134788133339</v>
      </c>
      <c r="AB10" s="71">
        <f>[2]Марк!$M$13*AB$58</f>
        <v>21422.432153828671</v>
      </c>
      <c r="AC10" s="72">
        <f>+AB10</f>
        <v>21422.432153828671</v>
      </c>
      <c r="AD10" s="108">
        <f>AB10+AC10</f>
        <v>42844.864307657343</v>
      </c>
      <c r="AE10" s="71">
        <f>[2]У_Бел!$M$13*AE$58</f>
        <v>17934.331474696002</v>
      </c>
      <c r="AF10" s="72">
        <f>+AE10</f>
        <v>17934.331474696002</v>
      </c>
      <c r="AG10" s="108">
        <f>AE10+AF10</f>
        <v>35868.662949392005</v>
      </c>
      <c r="AH10" s="71">
        <f>[2]Н_Чапл!$M$13*AH$58</f>
        <v>21680.801339500002</v>
      </c>
      <c r="AI10" s="72">
        <f>+AH10</f>
        <v>21680.801339500002</v>
      </c>
      <c r="AJ10" s="108">
        <f>AH10+AI10</f>
        <v>43361.602679000003</v>
      </c>
      <c r="AK10" s="71">
        <f>[2]Провид!$M$13*AK$58</f>
        <v>85088.667554862754</v>
      </c>
      <c r="AL10" s="72">
        <f>+AK10</f>
        <v>85088.667554862754</v>
      </c>
      <c r="AM10" s="108">
        <f>AK10+AL10</f>
        <v>170177.33510972551</v>
      </c>
      <c r="AN10" s="71">
        <f>[2]Сирен!$M$13*AN$58</f>
        <v>9042.3337358333338</v>
      </c>
      <c r="AO10" s="72">
        <f>+AN10</f>
        <v>9042.3337358333338</v>
      </c>
      <c r="AP10" s="108">
        <f>AN10+AO10</f>
        <v>18084.667471666668</v>
      </c>
    </row>
    <row r="11" spans="1:42" s="55" customFormat="1" ht="28.5" x14ac:dyDescent="0.2">
      <c r="A11" s="85" t="s">
        <v>6</v>
      </c>
      <c r="B11" s="68" t="s">
        <v>93</v>
      </c>
      <c r="C11" s="66" t="s">
        <v>90</v>
      </c>
      <c r="D11" s="114">
        <f>[2]Канч!$M$14/2</f>
        <v>0</v>
      </c>
      <c r="E11" s="116">
        <f>D11</f>
        <v>0</v>
      </c>
      <c r="F11" s="109">
        <f>D11+E11</f>
        <v>0</v>
      </c>
      <c r="G11" s="114">
        <f>[2]У_Копи!$M$14/2</f>
        <v>95388.85</v>
      </c>
      <c r="H11" s="116">
        <f>G11</f>
        <v>95388.85</v>
      </c>
      <c r="I11" s="109">
        <f>G11+H11</f>
        <v>190777.7</v>
      </c>
      <c r="J11" s="114">
        <f>[2]Алькат!$M$14/2</f>
        <v>0</v>
      </c>
      <c r="K11" s="116">
        <f>J11</f>
        <v>0</v>
      </c>
      <c r="L11" s="109">
        <f>J11+K11</f>
        <v>0</v>
      </c>
      <c r="M11" s="114">
        <f>[2]Беринг!$M$14/2</f>
        <v>0</v>
      </c>
      <c r="N11" s="116">
        <f>M11</f>
        <v>0</v>
      </c>
      <c r="O11" s="109">
        <f>M11+N11</f>
        <v>0</v>
      </c>
      <c r="P11" s="114">
        <f>[2]Мейнып!$M$14*P58</f>
        <v>0</v>
      </c>
      <c r="Q11" s="116">
        <f>P11</f>
        <v>0</v>
      </c>
      <c r="R11" s="109">
        <f>P11+Q11</f>
        <v>0</v>
      </c>
      <c r="S11" s="114">
        <f>[2]Хатыр!$M$14*S58</f>
        <v>0</v>
      </c>
      <c r="T11" s="116">
        <f>S11</f>
        <v>0</v>
      </c>
      <c r="U11" s="109">
        <f>S11+T11</f>
        <v>0</v>
      </c>
      <c r="V11" s="114">
        <f>[2]Ваеги!$M$14*V58</f>
        <v>0</v>
      </c>
      <c r="W11" s="116">
        <f>V11</f>
        <v>0</v>
      </c>
      <c r="X11" s="109">
        <f>V11+W11</f>
        <v>0</v>
      </c>
      <c r="Y11" s="114">
        <f>[2]Снежн!$M$14*Y58</f>
        <v>0</v>
      </c>
      <c r="Z11" s="116">
        <f>Y11</f>
        <v>0</v>
      </c>
      <c r="AA11" s="109">
        <f>Y11+Z11</f>
        <v>0</v>
      </c>
      <c r="AB11" s="114">
        <f>[2]Марк!$M$14*AB58</f>
        <v>0</v>
      </c>
      <c r="AC11" s="116">
        <f>AB11</f>
        <v>0</v>
      </c>
      <c r="AD11" s="109">
        <f>AB11+AC11</f>
        <v>0</v>
      </c>
      <c r="AE11" s="114">
        <f>[2]У_Бел!$M$14*AE58</f>
        <v>0</v>
      </c>
      <c r="AF11" s="116">
        <f>AE11</f>
        <v>0</v>
      </c>
      <c r="AG11" s="109">
        <f>AE11+AF11</f>
        <v>0</v>
      </c>
      <c r="AH11" s="114">
        <f>[2]Н_Чапл!$M$14*AH58</f>
        <v>0</v>
      </c>
      <c r="AI11" s="116">
        <f>AH11</f>
        <v>0</v>
      </c>
      <c r="AJ11" s="109">
        <f>AH11+AI11</f>
        <v>0</v>
      </c>
      <c r="AK11" s="114">
        <f>[2]Провид!$M$14*AK58</f>
        <v>0</v>
      </c>
      <c r="AL11" s="116">
        <f>AK11</f>
        <v>0</v>
      </c>
      <c r="AM11" s="109">
        <f>AK11+AL11</f>
        <v>0</v>
      </c>
      <c r="AN11" s="114">
        <f>[2]Провид!$M$14*AN58</f>
        <v>0</v>
      </c>
      <c r="AO11" s="116">
        <f>AN11</f>
        <v>0</v>
      </c>
      <c r="AP11" s="109">
        <f>AN11+AO11</f>
        <v>0</v>
      </c>
    </row>
    <row r="12" spans="1:42" s="55" customFormat="1" ht="15" x14ac:dyDescent="0.2">
      <c r="A12" s="84" t="s">
        <v>7</v>
      </c>
      <c r="B12" s="70" t="s">
        <v>94</v>
      </c>
      <c r="C12" s="66" t="s">
        <v>90</v>
      </c>
      <c r="D12" s="71">
        <f>[2]Канч!$M$15*D$58</f>
        <v>0</v>
      </c>
      <c r="E12" s="72">
        <f>D12</f>
        <v>0</v>
      </c>
      <c r="F12" s="108">
        <f>D12+E12</f>
        <v>0</v>
      </c>
      <c r="G12" s="71">
        <f>[2]У_Копи!$M$15/2</f>
        <v>95.388850000000005</v>
      </c>
      <c r="H12" s="72">
        <f>G12</f>
        <v>95.388850000000005</v>
      </c>
      <c r="I12" s="108">
        <f>G12+H12</f>
        <v>190.77770000000001</v>
      </c>
      <c r="J12" s="71">
        <f>[2]Алькат!$M$15*J$58</f>
        <v>2.95</v>
      </c>
      <c r="K12" s="72">
        <f>J12</f>
        <v>2.95</v>
      </c>
      <c r="L12" s="108">
        <f>J12+K12</f>
        <v>5.9</v>
      </c>
      <c r="M12" s="71">
        <f>[2]Беринг!$M$15*M$58</f>
        <v>70.2</v>
      </c>
      <c r="N12" s="72">
        <f>M12</f>
        <v>70.2</v>
      </c>
      <c r="O12" s="108">
        <f>M12+N12</f>
        <v>140.4</v>
      </c>
      <c r="P12" s="71">
        <f>[2]Мейнып!$M$15*P$58</f>
        <v>0</v>
      </c>
      <c r="Q12" s="72">
        <f>P12</f>
        <v>0</v>
      </c>
      <c r="R12" s="108">
        <f>P12+Q12</f>
        <v>0</v>
      </c>
      <c r="S12" s="71">
        <f>[2]Хатыр!$M$15*S$58</f>
        <v>142.5</v>
      </c>
      <c r="T12" s="72">
        <f>S12</f>
        <v>142.5</v>
      </c>
      <c r="U12" s="108">
        <f>S12+T12</f>
        <v>285</v>
      </c>
      <c r="V12" s="71">
        <f>[2]Ваеги!$M$15*V$58</f>
        <v>1480.5472499999998</v>
      </c>
      <c r="W12" s="72">
        <f>V12</f>
        <v>1480.5472499999998</v>
      </c>
      <c r="X12" s="108">
        <f>V12+W12</f>
        <v>2961.0944999999997</v>
      </c>
      <c r="Y12" s="71">
        <f>[2]Снежн!$M$15*Y$58</f>
        <v>0</v>
      </c>
      <c r="Z12" s="72">
        <f>Y12</f>
        <v>0</v>
      </c>
      <c r="AA12" s="108">
        <f>Y12+Z12</f>
        <v>0</v>
      </c>
      <c r="AB12" s="71">
        <f>[2]Марк!$M$15*AB$58</f>
        <v>36.5</v>
      </c>
      <c r="AC12" s="72">
        <f>AB12</f>
        <v>36.5</v>
      </c>
      <c r="AD12" s="108">
        <f>AB12+AC12</f>
        <v>73</v>
      </c>
      <c r="AE12" s="71">
        <f>[2]У_Бел!$M$15*AE$58</f>
        <v>0</v>
      </c>
      <c r="AF12" s="72">
        <f>AE12</f>
        <v>0</v>
      </c>
      <c r="AG12" s="108">
        <f>AE12+AF12</f>
        <v>0</v>
      </c>
      <c r="AH12" s="71">
        <f>[2]Н_Чапл!$M$15*AH$58</f>
        <v>0</v>
      </c>
      <c r="AI12" s="72">
        <f>AH12</f>
        <v>0</v>
      </c>
      <c r="AJ12" s="108">
        <f>AH12+AI12</f>
        <v>0</v>
      </c>
      <c r="AK12" s="71">
        <f>[2]Провид!$M$15*AK$58</f>
        <v>1206.009</v>
      </c>
      <c r="AL12" s="72">
        <f>AK12</f>
        <v>1206.009</v>
      </c>
      <c r="AM12" s="108">
        <f>AK12+AL12</f>
        <v>2412.018</v>
      </c>
      <c r="AN12" s="71">
        <f>[2]Сирен!$M$15*AN$58</f>
        <v>0</v>
      </c>
      <c r="AO12" s="72">
        <f>AN12</f>
        <v>0</v>
      </c>
      <c r="AP12" s="108">
        <f>AN12+AO12</f>
        <v>0</v>
      </c>
    </row>
    <row r="13" spans="1:42" s="55" customFormat="1" ht="15" x14ac:dyDescent="0.2">
      <c r="A13" s="84" t="s">
        <v>8</v>
      </c>
      <c r="B13" s="70" t="s">
        <v>95</v>
      </c>
      <c r="C13" s="66" t="s">
        <v>90</v>
      </c>
      <c r="D13" s="71">
        <f>[2]Канч!$M$17*D$58</f>
        <v>15667.458247856364</v>
      </c>
      <c r="E13" s="72">
        <f>D13</f>
        <v>15667.458247856364</v>
      </c>
      <c r="F13" s="381">
        <f t="shared" ref="F13" si="13">F8+F11-F12</f>
        <v>31334.916495712729</v>
      </c>
      <c r="G13" s="71">
        <f>[2]У_Копи!$M$17/2</f>
        <v>135501.62615000003</v>
      </c>
      <c r="H13" s="72">
        <f>G13</f>
        <v>135501.62615000003</v>
      </c>
      <c r="I13" s="381">
        <f t="shared" ref="I13" si="14">I8+I11-I12</f>
        <v>271003.25230000005</v>
      </c>
      <c r="J13" s="71">
        <f>[2]Алькат!$M$17*J$58</f>
        <v>10720.760332219001</v>
      </c>
      <c r="K13" s="72">
        <f>J13</f>
        <v>10720.760332219001</v>
      </c>
      <c r="L13" s="381">
        <f t="shared" ref="L13" si="15">L8+L11-L12</f>
        <v>21441.520664438001</v>
      </c>
      <c r="M13" s="71">
        <f>[2]Беринг!$M$17*M$58</f>
        <v>64046.589984878236</v>
      </c>
      <c r="N13" s="72">
        <f>M13</f>
        <v>64046.589984878236</v>
      </c>
      <c r="O13" s="381">
        <f t="shared" ref="O13" si="16">O8+O11-O12</f>
        <v>128093.17996975647</v>
      </c>
      <c r="P13" s="71">
        <f>[2]Мейнып!$M$17*P$58</f>
        <v>10593.079159511999</v>
      </c>
      <c r="Q13" s="72">
        <f>P13</f>
        <v>10593.079159511999</v>
      </c>
      <c r="R13" s="381">
        <f t="shared" ref="R13" si="17">R8+R11-R12</f>
        <v>21186.158319023998</v>
      </c>
      <c r="S13" s="71">
        <f>[2]Хатыр!$M$17*S$58</f>
        <v>6964.8189236166654</v>
      </c>
      <c r="T13" s="72">
        <f>S13</f>
        <v>6964.8189236166654</v>
      </c>
      <c r="U13" s="381">
        <f t="shared" ref="U13" si="18">U8+U11-U12</f>
        <v>13929.637847233331</v>
      </c>
      <c r="V13" s="71">
        <f>[2]Ваеги!$M$17*V$58</f>
        <v>7004.6522885479999</v>
      </c>
      <c r="W13" s="72">
        <f>V13</f>
        <v>7004.6522885479999</v>
      </c>
      <c r="X13" s="381">
        <f t="shared" ref="X13" si="19">X8+X11-X12</f>
        <v>14009.304577096002</v>
      </c>
      <c r="Y13" s="71">
        <f>[2]Снежн!$M$17*Y$58</f>
        <v>2603.1567394066669</v>
      </c>
      <c r="Z13" s="72">
        <f>Y13</f>
        <v>2603.1567394066669</v>
      </c>
      <c r="AA13" s="381">
        <f t="shared" ref="AA13" si="20">AA8+AA11-AA12</f>
        <v>5206.3134788133339</v>
      </c>
      <c r="AB13" s="71">
        <f>[2]Марк!$M$17*AB$58</f>
        <v>21385.932153828671</v>
      </c>
      <c r="AC13" s="72">
        <f>AB13</f>
        <v>21385.932153828671</v>
      </c>
      <c r="AD13" s="381">
        <f t="shared" ref="AD13" si="21">AD8+AD11-AD12</f>
        <v>42771.864307657343</v>
      </c>
      <c r="AE13" s="71">
        <f>[2]У_Бел!$M$17*AE$58</f>
        <v>17934.331474696002</v>
      </c>
      <c r="AF13" s="72">
        <f>AE13</f>
        <v>17934.331474696002</v>
      </c>
      <c r="AG13" s="381">
        <f t="shared" ref="AG13" si="22">AG8+AG11-AG12</f>
        <v>35868.662949392005</v>
      </c>
      <c r="AH13" s="71">
        <f>[2]Н_Чапл!$M$17*AH$58</f>
        <v>21680.801339500002</v>
      </c>
      <c r="AI13" s="72">
        <f>AH13</f>
        <v>21680.801339500002</v>
      </c>
      <c r="AJ13" s="381">
        <f t="shared" ref="AJ13" si="23">AJ8+AJ11-AJ12</f>
        <v>43361.602679000003</v>
      </c>
      <c r="AK13" s="71">
        <f>[2]Провид!$M$17*AK$58</f>
        <v>83882.658554862748</v>
      </c>
      <c r="AL13" s="72">
        <f>AK13</f>
        <v>83882.658554862748</v>
      </c>
      <c r="AM13" s="381">
        <f t="shared" ref="AM13" si="24">AM8+AM11-AM12</f>
        <v>167765.3171097255</v>
      </c>
      <c r="AN13" s="71">
        <f>[2]Сирен!$M$17*AN$58</f>
        <v>9042.3337358333338</v>
      </c>
      <c r="AO13" s="72">
        <f>AN13</f>
        <v>9042.3337358333338</v>
      </c>
      <c r="AP13" s="381">
        <f t="shared" ref="AP13" si="25">AP8+AP11-AP12</f>
        <v>18084.667471666668</v>
      </c>
    </row>
    <row r="14" spans="1:42" s="55" customFormat="1" ht="15" x14ac:dyDescent="0.2">
      <c r="A14" s="84" t="s">
        <v>9</v>
      </c>
      <c r="B14" s="70" t="s">
        <v>96</v>
      </c>
      <c r="C14" s="66" t="s">
        <v>90</v>
      </c>
      <c r="D14" s="71">
        <f>[2]Канч!$M$18*D$58</f>
        <v>1205.4585855230314</v>
      </c>
      <c r="E14" s="72">
        <f>E15+E16</f>
        <v>1205.4585855230314</v>
      </c>
      <c r="F14" s="108">
        <f t="shared" ref="F14" si="26">F15+F16</f>
        <v>2410.9171710460628</v>
      </c>
      <c r="G14" s="71">
        <f>[2]У_Копи!$M$18/2</f>
        <v>4471.5536629500011</v>
      </c>
      <c r="H14" s="72">
        <f>H15+H16</f>
        <v>4471.5536629500011</v>
      </c>
      <c r="I14" s="108">
        <f t="shared" ref="I14" si="27">I15+I16</f>
        <v>8943.1073259000023</v>
      </c>
      <c r="J14" s="71">
        <f>[2]Алькат!$M$18*J$58</f>
        <v>392.47484838566663</v>
      </c>
      <c r="K14" s="72">
        <f>K15+K16</f>
        <v>392.47484838566663</v>
      </c>
      <c r="L14" s="108">
        <f t="shared" ref="L14" si="28">L15+L16</f>
        <v>784.94969677133327</v>
      </c>
      <c r="M14" s="71">
        <f>[2]Беринг!$M$18*M$58</f>
        <v>1985.9407747249065</v>
      </c>
      <c r="N14" s="72">
        <f>N15+N16</f>
        <v>1985.9407747249065</v>
      </c>
      <c r="O14" s="108">
        <f t="shared" ref="O14" si="29">O15+O16</f>
        <v>3971.8815494498131</v>
      </c>
      <c r="P14" s="71">
        <f>[2]Мейнып!$M$18*P$58</f>
        <v>618.42835017866662</v>
      </c>
      <c r="Q14" s="72">
        <f>Q15+Q16</f>
        <v>618.42835017866662</v>
      </c>
      <c r="R14" s="108">
        <f t="shared" ref="R14" si="30">R15+R16</f>
        <v>1236.8567003573332</v>
      </c>
      <c r="S14" s="71">
        <f>[2]Хатыр!$M$18*S$58</f>
        <v>169.87363228333334</v>
      </c>
      <c r="T14" s="72">
        <f>T15+T16</f>
        <v>169.87363228333334</v>
      </c>
      <c r="U14" s="108">
        <f t="shared" ref="U14" si="31">U15+U16</f>
        <v>339.74726456666667</v>
      </c>
      <c r="V14" s="71">
        <f>[2]Ваеги!$M$18*V$58</f>
        <v>705.50454704799995</v>
      </c>
      <c r="W14" s="72">
        <f>W15+W16</f>
        <v>705.50454704799995</v>
      </c>
      <c r="X14" s="108">
        <f t="shared" ref="X14" si="32">X15+X16</f>
        <v>1411.0090940959999</v>
      </c>
      <c r="Y14" s="71">
        <f>[2]Снежн!$M$18*Y$58</f>
        <v>262.18844857333329</v>
      </c>
      <c r="Z14" s="72">
        <f>Z15+Z16</f>
        <v>262.18844857333329</v>
      </c>
      <c r="AA14" s="108">
        <f t="shared" ref="AA14" si="33">AA15+AA16</f>
        <v>524.37689714666658</v>
      </c>
      <c r="AB14" s="71">
        <f>[2]Марк!$M$18*AB$58</f>
        <v>1891.0076744953335</v>
      </c>
      <c r="AC14" s="72">
        <f>AC15+AC16</f>
        <v>1891.0076744953335</v>
      </c>
      <c r="AD14" s="108">
        <f t="shared" ref="AD14" si="34">AD15+AD16</f>
        <v>3782.015348990667</v>
      </c>
      <c r="AE14" s="71">
        <f>[2]У_Бел!$M$18*AE$58</f>
        <v>1510.9510033626666</v>
      </c>
      <c r="AF14" s="72">
        <f>AF15+AF16</f>
        <v>1510.9510033626666</v>
      </c>
      <c r="AG14" s="108">
        <f t="shared" ref="AG14" si="35">AG15+AG16</f>
        <v>3021.9020067253332</v>
      </c>
      <c r="AH14" s="71">
        <f>[2]Н_Чапл!$M$18*AH$58</f>
        <v>5225</v>
      </c>
      <c r="AI14" s="72">
        <f>AI15+AI16</f>
        <v>5225</v>
      </c>
      <c r="AJ14" s="108">
        <f t="shared" ref="AJ14" si="36">AJ15+AJ16</f>
        <v>10450</v>
      </c>
      <c r="AK14" s="71">
        <f>[2]Провид!$M$18*AK$58</f>
        <v>4146.2911072745846</v>
      </c>
      <c r="AL14" s="72">
        <f>AL15+AL16</f>
        <v>4146.2911072745846</v>
      </c>
      <c r="AM14" s="108">
        <f t="shared" ref="AM14" si="37">AM15+AM16</f>
        <v>8292.5822145491693</v>
      </c>
      <c r="AN14" s="71">
        <f>[2]Сирен!$M$18*AN$58</f>
        <v>2200</v>
      </c>
      <c r="AO14" s="72">
        <f>AO15+AO16</f>
        <v>2200</v>
      </c>
      <c r="AP14" s="108">
        <f t="shared" ref="AP14" si="38">AP15+AP16</f>
        <v>4400</v>
      </c>
    </row>
    <row r="15" spans="1:42" s="55" customFormat="1" ht="15" x14ac:dyDescent="0.2">
      <c r="A15" s="94" t="s">
        <v>97</v>
      </c>
      <c r="B15" s="73" t="s">
        <v>98</v>
      </c>
      <c r="C15" s="74" t="s">
        <v>90</v>
      </c>
      <c r="D15" s="71">
        <f>D14</f>
        <v>1205.4585855230314</v>
      </c>
      <c r="E15" s="72">
        <f>D15</f>
        <v>1205.4585855230314</v>
      </c>
      <c r="F15" s="108">
        <f>D15+E15</f>
        <v>2410.9171710460628</v>
      </c>
      <c r="G15" s="71">
        <f>G14</f>
        <v>4471.5536629500011</v>
      </c>
      <c r="H15" s="72">
        <f>G15</f>
        <v>4471.5536629500011</v>
      </c>
      <c r="I15" s="108">
        <f>G15+H15</f>
        <v>8943.1073259000023</v>
      </c>
      <c r="J15" s="71">
        <f>J14</f>
        <v>392.47484838566663</v>
      </c>
      <c r="K15" s="72">
        <f>J15</f>
        <v>392.47484838566663</v>
      </c>
      <c r="L15" s="108">
        <f>J15+K15</f>
        <v>784.94969677133327</v>
      </c>
      <c r="M15" s="71">
        <f>M14</f>
        <v>1985.9407747249065</v>
      </c>
      <c r="N15" s="72">
        <f>M15</f>
        <v>1985.9407747249065</v>
      </c>
      <c r="O15" s="108">
        <f>M15+N15</f>
        <v>3971.8815494498131</v>
      </c>
      <c r="P15" s="71">
        <f>P14</f>
        <v>618.42835017866662</v>
      </c>
      <c r="Q15" s="72">
        <f>P15</f>
        <v>618.42835017866662</v>
      </c>
      <c r="R15" s="108">
        <f>P15+Q15</f>
        <v>1236.8567003573332</v>
      </c>
      <c r="S15" s="71">
        <f>S14</f>
        <v>169.87363228333334</v>
      </c>
      <c r="T15" s="72">
        <f>S15</f>
        <v>169.87363228333334</v>
      </c>
      <c r="U15" s="108">
        <f>S15+T15</f>
        <v>339.74726456666667</v>
      </c>
      <c r="V15" s="71">
        <f>V14</f>
        <v>705.50454704799995</v>
      </c>
      <c r="W15" s="72">
        <f>V15</f>
        <v>705.50454704799995</v>
      </c>
      <c r="X15" s="108">
        <f>V15+W15</f>
        <v>1411.0090940959999</v>
      </c>
      <c r="Y15" s="71">
        <f>Y14</f>
        <v>262.18844857333329</v>
      </c>
      <c r="Z15" s="72">
        <f>Y15</f>
        <v>262.18844857333329</v>
      </c>
      <c r="AA15" s="108">
        <f>Y15+Z15</f>
        <v>524.37689714666658</v>
      </c>
      <c r="AB15" s="71">
        <f>AB14</f>
        <v>1891.0076744953335</v>
      </c>
      <c r="AC15" s="72">
        <f>AB15</f>
        <v>1891.0076744953335</v>
      </c>
      <c r="AD15" s="108">
        <f>AB15+AC15</f>
        <v>3782.015348990667</v>
      </c>
      <c r="AE15" s="71">
        <f>AE14</f>
        <v>1510.9510033626666</v>
      </c>
      <c r="AF15" s="72">
        <f>AE15</f>
        <v>1510.9510033626666</v>
      </c>
      <c r="AG15" s="108">
        <f>AE15+AF15</f>
        <v>3021.9020067253332</v>
      </c>
      <c r="AH15" s="71">
        <f>AH14</f>
        <v>5225</v>
      </c>
      <c r="AI15" s="72">
        <f>AH15</f>
        <v>5225</v>
      </c>
      <c r="AJ15" s="108">
        <f>AH15+AI15</f>
        <v>10450</v>
      </c>
      <c r="AK15" s="71">
        <f>AK14</f>
        <v>4146.2911072745846</v>
      </c>
      <c r="AL15" s="72">
        <f>AK15</f>
        <v>4146.2911072745846</v>
      </c>
      <c r="AM15" s="108">
        <f>AK15+AL15</f>
        <v>8292.5822145491693</v>
      </c>
      <c r="AN15" s="71">
        <f>AN14</f>
        <v>2200</v>
      </c>
      <c r="AO15" s="72">
        <f>AN15</f>
        <v>2200</v>
      </c>
      <c r="AP15" s="108">
        <f>AN15+AO15</f>
        <v>4400</v>
      </c>
    </row>
    <row r="16" spans="1:42" s="55" customFormat="1" ht="15" x14ac:dyDescent="0.2">
      <c r="A16" s="84" t="s">
        <v>99</v>
      </c>
      <c r="B16" s="73" t="s">
        <v>100</v>
      </c>
      <c r="C16" s="66" t="s">
        <v>90</v>
      </c>
      <c r="D16" s="71"/>
      <c r="E16" s="72"/>
      <c r="F16" s="108">
        <f>D16+E16</f>
        <v>0</v>
      </c>
      <c r="G16" s="71"/>
      <c r="H16" s="72"/>
      <c r="I16" s="108">
        <f>G16+H16</f>
        <v>0</v>
      </c>
      <c r="J16" s="71"/>
      <c r="K16" s="72"/>
      <c r="L16" s="108">
        <f>J16+K16</f>
        <v>0</v>
      </c>
      <c r="M16" s="71"/>
      <c r="N16" s="72"/>
      <c r="O16" s="108">
        <f>M16+N16</f>
        <v>0</v>
      </c>
      <c r="P16" s="71"/>
      <c r="Q16" s="72"/>
      <c r="R16" s="108">
        <f>P16+Q16</f>
        <v>0</v>
      </c>
      <c r="S16" s="71"/>
      <c r="T16" s="72"/>
      <c r="U16" s="108">
        <f>S16+T16</f>
        <v>0</v>
      </c>
      <c r="V16" s="71"/>
      <c r="W16" s="72"/>
      <c r="X16" s="108">
        <f>V16+W16</f>
        <v>0</v>
      </c>
      <c r="Y16" s="71"/>
      <c r="Z16" s="72"/>
      <c r="AA16" s="108">
        <f>Y16+Z16</f>
        <v>0</v>
      </c>
      <c r="AB16" s="71"/>
      <c r="AC16" s="72"/>
      <c r="AD16" s="108">
        <f>AB16+AC16</f>
        <v>0</v>
      </c>
      <c r="AE16" s="71"/>
      <c r="AF16" s="72"/>
      <c r="AG16" s="108">
        <f>AE16+AF16</f>
        <v>0</v>
      </c>
      <c r="AH16" s="71"/>
      <c r="AI16" s="72"/>
      <c r="AJ16" s="108">
        <f>AH16+AI16</f>
        <v>0</v>
      </c>
      <c r="AK16" s="71"/>
      <c r="AL16" s="72"/>
      <c r="AM16" s="108">
        <f>AK16+AL16</f>
        <v>0</v>
      </c>
      <c r="AN16" s="71"/>
      <c r="AO16" s="72"/>
      <c r="AP16" s="108">
        <f>AN16+AO16</f>
        <v>0</v>
      </c>
    </row>
    <row r="17" spans="1:42" s="80" customFormat="1" ht="19.5" customHeight="1" x14ac:dyDescent="0.2">
      <c r="A17" s="85" t="s">
        <v>10</v>
      </c>
      <c r="B17" s="76" t="s">
        <v>101</v>
      </c>
      <c r="C17" s="77" t="s">
        <v>90</v>
      </c>
      <c r="D17" s="114">
        <f t="shared" ref="D17:F17" si="39">D13-D14</f>
        <v>14461.999662333334</v>
      </c>
      <c r="E17" s="116">
        <f t="shared" si="39"/>
        <v>14461.999662333334</v>
      </c>
      <c r="F17" s="109">
        <f t="shared" si="39"/>
        <v>28923.999324666667</v>
      </c>
      <c r="G17" s="114">
        <f t="shared" ref="G17:L17" si="40">G13-G14</f>
        <v>131030.07248705003</v>
      </c>
      <c r="H17" s="116">
        <f t="shared" si="40"/>
        <v>131030.07248705003</v>
      </c>
      <c r="I17" s="109">
        <f t="shared" si="40"/>
        <v>262060.14497410005</v>
      </c>
      <c r="J17" s="114">
        <f t="shared" si="40"/>
        <v>10328.285483833333</v>
      </c>
      <c r="K17" s="116">
        <f t="shared" si="40"/>
        <v>10328.285483833333</v>
      </c>
      <c r="L17" s="109">
        <f t="shared" si="40"/>
        <v>20656.570967666667</v>
      </c>
      <c r="M17" s="114">
        <f t="shared" ref="M17:O17" si="41">M13-M14</f>
        <v>62060.649210153329</v>
      </c>
      <c r="N17" s="116">
        <f t="shared" si="41"/>
        <v>62060.649210153329</v>
      </c>
      <c r="O17" s="109">
        <f t="shared" si="41"/>
        <v>124121.29842030666</v>
      </c>
      <c r="P17" s="114">
        <f t="shared" ref="P17:R17" si="42">P13-P14</f>
        <v>9974.6508093333323</v>
      </c>
      <c r="Q17" s="116">
        <f t="shared" si="42"/>
        <v>9974.6508093333323</v>
      </c>
      <c r="R17" s="109">
        <f t="shared" si="42"/>
        <v>19949.301618666665</v>
      </c>
      <c r="S17" s="114">
        <f t="shared" ref="S17:U17" si="43">S13-S14</f>
        <v>6794.9452913333316</v>
      </c>
      <c r="T17" s="116">
        <f t="shared" si="43"/>
        <v>6794.9452913333316</v>
      </c>
      <c r="U17" s="109">
        <f t="shared" si="43"/>
        <v>13589.890582666663</v>
      </c>
      <c r="V17" s="114">
        <f t="shared" ref="V17:X17" si="44">V13-V14</f>
        <v>6299.1477414999999</v>
      </c>
      <c r="W17" s="116">
        <f t="shared" si="44"/>
        <v>6299.1477414999999</v>
      </c>
      <c r="X17" s="109">
        <f t="shared" si="44"/>
        <v>12598.295483000002</v>
      </c>
      <c r="Y17" s="114">
        <f>Y13-Y14</f>
        <v>2340.9682908333334</v>
      </c>
      <c r="Z17" s="116">
        <f t="shared" ref="Z17:AA17" si="45">Z13-Z14</f>
        <v>2340.9682908333334</v>
      </c>
      <c r="AA17" s="109">
        <f t="shared" si="45"/>
        <v>4681.9365816666668</v>
      </c>
      <c r="AB17" s="114">
        <f>AB13-AB14</f>
        <v>19494.924479333338</v>
      </c>
      <c r="AC17" s="116">
        <f t="shared" ref="AC17:AD17" si="46">AC13-AC14</f>
        <v>19494.924479333338</v>
      </c>
      <c r="AD17" s="109">
        <f t="shared" si="46"/>
        <v>38989.848958666676</v>
      </c>
      <c r="AE17" s="114">
        <f>AE13-AE14</f>
        <v>16423.380471333337</v>
      </c>
      <c r="AF17" s="116">
        <f t="shared" ref="AF17:AG17" si="47">AF13-AF14</f>
        <v>16423.380471333337</v>
      </c>
      <c r="AG17" s="109">
        <f t="shared" si="47"/>
        <v>32846.760942666675</v>
      </c>
      <c r="AH17" s="114">
        <f>AH13-AH14</f>
        <v>16455.801339500002</v>
      </c>
      <c r="AI17" s="116">
        <f t="shared" ref="AI17:AJ17" si="48">AI13-AI14</f>
        <v>16455.801339500002</v>
      </c>
      <c r="AJ17" s="109">
        <f t="shared" si="48"/>
        <v>32911.602679000003</v>
      </c>
      <c r="AK17" s="114">
        <f>AK13-AK14</f>
        <v>79736.367447588156</v>
      </c>
      <c r="AL17" s="116">
        <f t="shared" ref="AL17:AM17" si="49">AL13-AL14</f>
        <v>79736.367447588156</v>
      </c>
      <c r="AM17" s="109">
        <f t="shared" si="49"/>
        <v>159472.73489517631</v>
      </c>
      <c r="AN17" s="114">
        <f>AN13-AN14</f>
        <v>6842.3337358333338</v>
      </c>
      <c r="AO17" s="116">
        <f t="shared" ref="AO17:AP17" si="50">AO13-AO14</f>
        <v>6842.3337358333338</v>
      </c>
      <c r="AP17" s="109">
        <f t="shared" si="50"/>
        <v>13684.667471666668</v>
      </c>
    </row>
    <row r="18" spans="1:42" s="55" customFormat="1" ht="15" x14ac:dyDescent="0.2">
      <c r="A18" s="61" t="s">
        <v>102</v>
      </c>
      <c r="B18" s="70" t="s">
        <v>103</v>
      </c>
      <c r="C18" s="66" t="s">
        <v>90</v>
      </c>
      <c r="D18" s="71">
        <f t="shared" ref="D18:E18" si="51">D19+D20+D21</f>
        <v>1216.8725411231756</v>
      </c>
      <c r="E18" s="72">
        <f t="shared" si="51"/>
        <v>1216.8725411231756</v>
      </c>
      <c r="F18" s="108">
        <f>F19+F20+F21</f>
        <v>2433.7450822463511</v>
      </c>
      <c r="G18" s="71">
        <f t="shared" ref="G18:H18" si="52">G19+G20+G21</f>
        <v>56690.889248953143</v>
      </c>
      <c r="H18" s="72">
        <f t="shared" si="52"/>
        <v>56690.889248953143</v>
      </c>
      <c r="I18" s="108">
        <f>I19+I20+I21</f>
        <v>113381.77849790629</v>
      </c>
      <c r="J18" s="71">
        <f t="shared" ref="J18:K18" si="53">J19+J20+J21</f>
        <v>5390.9185619999998</v>
      </c>
      <c r="K18" s="72">
        <f t="shared" si="53"/>
        <v>5390.9185619999998</v>
      </c>
      <c r="L18" s="108">
        <f>L19+L20+L21</f>
        <v>10781.837124</v>
      </c>
      <c r="M18" s="71">
        <f t="shared" ref="M18:N18" si="54">M19+M20+M21</f>
        <v>34079.36969774952</v>
      </c>
      <c r="N18" s="72">
        <f t="shared" si="54"/>
        <v>34079.36969774952</v>
      </c>
      <c r="O18" s="108">
        <f>O19+O20+O21</f>
        <v>68158.73939549904</v>
      </c>
      <c r="P18" s="71">
        <f t="shared" ref="P18:Q18" si="55">P19+P20+P21</f>
        <v>1591.2755635000001</v>
      </c>
      <c r="Q18" s="72">
        <f t="shared" si="55"/>
        <v>1591.2755635000001</v>
      </c>
      <c r="R18" s="108">
        <f>R19+R20+R21</f>
        <v>3182.5511270000002</v>
      </c>
      <c r="S18" s="71">
        <f t="shared" ref="S18:T18" si="56">S19+S20+S21</f>
        <v>1326.5754854999998</v>
      </c>
      <c r="T18" s="72">
        <f t="shared" si="56"/>
        <v>1326.5754854999998</v>
      </c>
      <c r="U18" s="108">
        <f>U19+U20+U21</f>
        <v>2653.1509709999996</v>
      </c>
      <c r="V18" s="71">
        <f t="shared" ref="V18:W18" si="57">V19+V20+V21</f>
        <v>207.3</v>
      </c>
      <c r="W18" s="72">
        <f t="shared" si="57"/>
        <v>207.3</v>
      </c>
      <c r="X18" s="108">
        <f>X19+X20+X21</f>
        <v>414.6</v>
      </c>
      <c r="Y18" s="71">
        <f t="shared" ref="Y18:Z18" si="58">Y19+Y20+Y21</f>
        <v>376.3</v>
      </c>
      <c r="Z18" s="72">
        <f t="shared" si="58"/>
        <v>376.3</v>
      </c>
      <c r="AA18" s="108">
        <f>AA19+AA20+AA21</f>
        <v>752.6</v>
      </c>
      <c r="AB18" s="71">
        <f t="shared" ref="AB18:AC18" si="59">AB19+AB20+AB21</f>
        <v>711.65</v>
      </c>
      <c r="AC18" s="72">
        <f t="shared" si="59"/>
        <v>711.65</v>
      </c>
      <c r="AD18" s="108">
        <f>AD19+AD20+AD21</f>
        <v>1423.3</v>
      </c>
      <c r="AE18" s="71">
        <f t="shared" ref="AE18:AF18" si="60">AE19+AE20+AE21</f>
        <v>2611.6498259999994</v>
      </c>
      <c r="AF18" s="72">
        <f t="shared" si="60"/>
        <v>2611.6498259999994</v>
      </c>
      <c r="AG18" s="108">
        <f>AG19+AG20+AG21</f>
        <v>5223.2996519999988</v>
      </c>
      <c r="AH18" s="71">
        <f t="shared" ref="AH18:AI18" si="61">AH19+AH20+AH21</f>
        <v>3107.8</v>
      </c>
      <c r="AI18" s="72">
        <f t="shared" si="61"/>
        <v>3107.8</v>
      </c>
      <c r="AJ18" s="108">
        <f>AJ19+AJ20+AJ21</f>
        <v>6215.6</v>
      </c>
      <c r="AK18" s="71">
        <f t="shared" ref="AK18:AL18" si="62">AK19+AK20+AK21</f>
        <v>39714.278078851043</v>
      </c>
      <c r="AL18" s="72">
        <f t="shared" si="62"/>
        <v>39714.278078851043</v>
      </c>
      <c r="AM18" s="108">
        <f>AM19+AM20+AM21</f>
        <v>79428.556157702085</v>
      </c>
      <c r="AN18" s="71">
        <f t="shared" ref="AN18:AO18" si="63">AN19+AN20+AN21</f>
        <v>4219.6597835000002</v>
      </c>
      <c r="AO18" s="72">
        <f t="shared" si="63"/>
        <v>4219.6597835000002</v>
      </c>
      <c r="AP18" s="108">
        <f>AP19+AP20+AP21</f>
        <v>8439.3195670000005</v>
      </c>
    </row>
    <row r="19" spans="1:42" s="55" customFormat="1" ht="15" x14ac:dyDescent="0.2">
      <c r="A19" s="84" t="s">
        <v>104</v>
      </c>
      <c r="B19" s="83" t="s">
        <v>105</v>
      </c>
      <c r="C19" s="74" t="s">
        <v>90</v>
      </c>
      <c r="D19" s="71">
        <f>'[3]Свод Канчалан'!$F$23*D$58</f>
        <v>24.408999999999999</v>
      </c>
      <c r="E19" s="72">
        <f>D19</f>
        <v>24.408999999999999</v>
      </c>
      <c r="F19" s="108">
        <f>D19+E19</f>
        <v>48.817999999999998</v>
      </c>
      <c r="G19" s="71">
        <f>'[3]Свод Угольные Копи'!$F$23/2</f>
        <v>33050.857955500003</v>
      </c>
      <c r="H19" s="72">
        <f>G19</f>
        <v>33050.857955500003</v>
      </c>
      <c r="I19" s="108">
        <f>G19+H19</f>
        <v>66101.715911000007</v>
      </c>
      <c r="J19" s="71">
        <f>'[4]Свод Алькатваам'!$F$23*J$58</f>
        <v>2195.3685619999997</v>
      </c>
      <c r="K19" s="72">
        <f>J19</f>
        <v>2195.3685619999997</v>
      </c>
      <c r="L19" s="108">
        <f>J19+K19</f>
        <v>4390.7371239999993</v>
      </c>
      <c r="M19" s="71">
        <f>'[4]Свод Беринговский'!$F$23*M$58</f>
        <v>24686.580363499997</v>
      </c>
      <c r="N19" s="72">
        <f>M19</f>
        <v>24686.580363499997</v>
      </c>
      <c r="O19" s="108">
        <f>M19+N19</f>
        <v>49373.160726999995</v>
      </c>
      <c r="P19" s="71">
        <f>'[4]Свод Мейныпильгино'!$F$23*P$58</f>
        <v>427.82556349999999</v>
      </c>
      <c r="Q19" s="72">
        <f>P19</f>
        <v>427.82556349999999</v>
      </c>
      <c r="R19" s="108">
        <f>P19+Q19</f>
        <v>855.65112699999997</v>
      </c>
      <c r="S19" s="71">
        <f>'[4]Свод Хатырка'!$F$23*S$58</f>
        <v>1009.7754854999999</v>
      </c>
      <c r="T19" s="72">
        <f>S19</f>
        <v>1009.7754854999999</v>
      </c>
      <c r="U19" s="108">
        <f>S19+T19</f>
        <v>2019.5509709999999</v>
      </c>
      <c r="V19" s="71">
        <f>'[5]Свод Ваеги'!$F$23*V$58</f>
        <v>0</v>
      </c>
      <c r="W19" s="72">
        <f>V19</f>
        <v>0</v>
      </c>
      <c r="X19" s="108">
        <f>V19+W19</f>
        <v>0</v>
      </c>
      <c r="Y19" s="71">
        <f>'[5]Свод Снежное'!$F$23*Y$58</f>
        <v>0</v>
      </c>
      <c r="Z19" s="72">
        <f>Y19</f>
        <v>0</v>
      </c>
      <c r="AA19" s="108">
        <f>Y19+Z19</f>
        <v>0</v>
      </c>
      <c r="AB19" s="71">
        <f>'[5]Свод Марково'!$F$23*AB$58</f>
        <v>0</v>
      </c>
      <c r="AC19" s="72">
        <f>AB19</f>
        <v>0</v>
      </c>
      <c r="AD19" s="108">
        <f>AB19+AC19</f>
        <v>0</v>
      </c>
      <c r="AE19" s="71">
        <f>'[5]Свод Усть-Белая'!$F$23*AE$58</f>
        <v>2262.6998259999996</v>
      </c>
      <c r="AF19" s="72">
        <f>AE19</f>
        <v>2262.6998259999996</v>
      </c>
      <c r="AG19" s="108">
        <f>AE19+AF19</f>
        <v>4525.3996519999992</v>
      </c>
      <c r="AH19" s="71">
        <f>'[6]Свод Новое Чаплино'!$F$23*AH$58</f>
        <v>0</v>
      </c>
      <c r="AI19" s="72">
        <f>AH19</f>
        <v>0</v>
      </c>
      <c r="AJ19" s="108">
        <f>AH19+AI19</f>
        <v>0</v>
      </c>
      <c r="AK19" s="71">
        <f>'[6]Свод Провидения'!$F$23*AK$58+2200</f>
        <v>2354.5</v>
      </c>
      <c r="AL19" s="72">
        <f>AK19</f>
        <v>2354.5</v>
      </c>
      <c r="AM19" s="108">
        <f>AK19+AL19</f>
        <v>4709</v>
      </c>
      <c r="AN19" s="71">
        <f>'[6]Свод Сиреники'!$F$23*AN$58</f>
        <v>2324.9097834999998</v>
      </c>
      <c r="AO19" s="72">
        <f>AN19</f>
        <v>2324.9097834999998</v>
      </c>
      <c r="AP19" s="108">
        <f>AN19+AO19</f>
        <v>4649.8195669999996</v>
      </c>
    </row>
    <row r="20" spans="1:42" s="55" customFormat="1" ht="15" x14ac:dyDescent="0.2">
      <c r="A20" s="84" t="s">
        <v>106</v>
      </c>
      <c r="B20" s="73" t="s">
        <v>107</v>
      </c>
      <c r="C20" s="66" t="s">
        <v>90</v>
      </c>
      <c r="D20" s="217">
        <f>'[3]Свод Канчалан'!$F$15*D$58</f>
        <v>928.55354112317548</v>
      </c>
      <c r="E20" s="72">
        <f>D20</f>
        <v>928.55354112317548</v>
      </c>
      <c r="F20" s="108">
        <f>D20+E20</f>
        <v>1857.107082246351</v>
      </c>
      <c r="G20" s="217">
        <f>('[3]Свод Угольные Копи'!$F$15+'[3]Свод Угольные Копи'!$F$16)/2</f>
        <v>22066.136293453143</v>
      </c>
      <c r="H20" s="72">
        <f>G20</f>
        <v>22066.136293453143</v>
      </c>
      <c r="I20" s="108">
        <f>G20+H20</f>
        <v>44132.272586906285</v>
      </c>
      <c r="J20" s="217">
        <f>'[4]Свод Алькатваам'!$F$15*J$58</f>
        <v>3189.5</v>
      </c>
      <c r="K20" s="72">
        <f>J20</f>
        <v>3189.5</v>
      </c>
      <c r="L20" s="108">
        <f>J20+K20</f>
        <v>6379</v>
      </c>
      <c r="M20" s="217">
        <f>'[4]Свод Беринговский'!$F$15*M$58</f>
        <v>7650.4893342495207</v>
      </c>
      <c r="N20" s="72">
        <f>M20</f>
        <v>7650.4893342495207</v>
      </c>
      <c r="O20" s="108">
        <f>M20+N20</f>
        <v>15300.978668499041</v>
      </c>
      <c r="P20" s="217">
        <f>'[4]Свод Мейныпильгино'!$F$15*P$58</f>
        <v>673.5</v>
      </c>
      <c r="Q20" s="72">
        <f>P20</f>
        <v>673.5</v>
      </c>
      <c r="R20" s="108">
        <f>P20+Q20</f>
        <v>1347</v>
      </c>
      <c r="S20" s="217">
        <f>'[4]Свод Хатырка'!$F$15*S$58</f>
        <v>261.5</v>
      </c>
      <c r="T20" s="72">
        <f>S20</f>
        <v>261.5</v>
      </c>
      <c r="U20" s="108">
        <f>S20+T20</f>
        <v>523</v>
      </c>
      <c r="V20" s="217">
        <f>'[5]Свод Ваеги'!$F$15*V$58</f>
        <v>124</v>
      </c>
      <c r="W20" s="72">
        <f>V20</f>
        <v>124</v>
      </c>
      <c r="X20" s="108">
        <f>V20+W20</f>
        <v>248</v>
      </c>
      <c r="Y20" s="217">
        <f>'[5]Свод Снежное'!$F$15*Y$58</f>
        <v>265</v>
      </c>
      <c r="Z20" s="72">
        <f>Y20</f>
        <v>265</v>
      </c>
      <c r="AA20" s="108">
        <f>Y20+Z20</f>
        <v>530</v>
      </c>
      <c r="AB20" s="217">
        <f>'[5]Свод Марково'!$F$15*AB$58</f>
        <v>437</v>
      </c>
      <c r="AC20" s="72">
        <f>AB20</f>
        <v>437</v>
      </c>
      <c r="AD20" s="108">
        <f>AB20+AC20</f>
        <v>874</v>
      </c>
      <c r="AE20" s="217">
        <f>'[5]Свод Усть-Белая'!$F$15*AE$58</f>
        <v>334</v>
      </c>
      <c r="AF20" s="72">
        <f>AE20</f>
        <v>334</v>
      </c>
      <c r="AG20" s="108">
        <f>AE20+AF20</f>
        <v>668</v>
      </c>
      <c r="AH20" s="217">
        <f>'[6]Свод Новое Чаплино'!$F$15*AH$58</f>
        <v>3070</v>
      </c>
      <c r="AI20" s="72">
        <f>AH20</f>
        <v>3070</v>
      </c>
      <c r="AJ20" s="108">
        <f>AH20+AI20</f>
        <v>6140</v>
      </c>
      <c r="AK20" s="217">
        <f>('[6]Свод Провидения'!$F$15+'[6]Свод Провидения'!$F$51)*AK$58</f>
        <v>36855.428078851044</v>
      </c>
      <c r="AL20" s="72">
        <f>AK20</f>
        <v>36855.428078851044</v>
      </c>
      <c r="AM20" s="108">
        <f>AK20+AL20</f>
        <v>73710.856157702088</v>
      </c>
      <c r="AN20" s="217">
        <f>('[6]Свод Сиреники'!$F$15)*AN$58</f>
        <v>1047.5</v>
      </c>
      <c r="AO20" s="72">
        <f>AN20</f>
        <v>1047.5</v>
      </c>
      <c r="AP20" s="108">
        <f>AN20+AO20</f>
        <v>2095</v>
      </c>
    </row>
    <row r="21" spans="1:42" s="55" customFormat="1" ht="15" x14ac:dyDescent="0.2">
      <c r="A21" s="84" t="s">
        <v>108</v>
      </c>
      <c r="B21" s="73" t="s">
        <v>109</v>
      </c>
      <c r="C21" s="66" t="s">
        <v>90</v>
      </c>
      <c r="D21" s="71">
        <f>('[3]Свод Канчалан'!$F$18+'[3]Свод Канчалан'!$F$69+'[3]Свод Канчалан'!$F$16)*D$58+8.41</f>
        <v>263.91000000000003</v>
      </c>
      <c r="E21" s="72">
        <f>D21</f>
        <v>263.91000000000003</v>
      </c>
      <c r="F21" s="108">
        <f>D21+E21</f>
        <v>527.82000000000005</v>
      </c>
      <c r="G21" s="71">
        <f>('[3]Свод Угольные Копи'!$F$21+'[3]Свод Угольные Копи'!$F$40+'[3]Свод Угольные Копи'!$F$56+'[3]Свод Угольные Копи'!$F$69)/2+107.27</f>
        <v>1573.895</v>
      </c>
      <c r="H21" s="72">
        <f>G21</f>
        <v>1573.895</v>
      </c>
      <c r="I21" s="108">
        <f>G21+H21</f>
        <v>3147.79</v>
      </c>
      <c r="J21" s="71">
        <f>('[4]Свод Алькатваам'!$F$18+'[4]Свод Алькатваам'!$F$69+'[4]Свод Алькатваам'!$F$16)*J$58</f>
        <v>6.0500000000000007</v>
      </c>
      <c r="K21" s="72">
        <f>J21</f>
        <v>6.0500000000000007</v>
      </c>
      <c r="L21" s="108">
        <f>J21+K21</f>
        <v>12.100000000000001</v>
      </c>
      <c r="M21" s="71">
        <f>('[4]Свод Беринговский'!$F$16+'[4]Свод Беринговский'!$F$25+'[4]Свод Беринговский'!$F$69)*M$58+100+6.6</f>
        <v>1742.2999999999997</v>
      </c>
      <c r="N21" s="72">
        <f>M21</f>
        <v>1742.2999999999997</v>
      </c>
      <c r="O21" s="108">
        <f>M21+N21</f>
        <v>3484.5999999999995</v>
      </c>
      <c r="P21" s="71">
        <f>('[4]Свод Мейныпильгино'!$F$16+'[4]Свод Мейныпильгино'!$F$18+'[4]Свод Мейныпильгино'!$F$25+'[4]Свод Мейныпильгино'!$F$69)*P$58+400+25.15</f>
        <v>489.95</v>
      </c>
      <c r="Q21" s="72">
        <f>P21</f>
        <v>489.95</v>
      </c>
      <c r="R21" s="108">
        <f>P21+Q21</f>
        <v>979.9</v>
      </c>
      <c r="S21" s="71">
        <f>('[4]Свод Хатырка'!$F$16+'[4]Свод Хатырка'!$F$18+'[4]Свод Хатырка'!$F$25+'[4]Свод Хатырка'!$F$69)*S$58</f>
        <v>55.3</v>
      </c>
      <c r="T21" s="72">
        <f>S21</f>
        <v>55.3</v>
      </c>
      <c r="U21" s="108">
        <f>S21+T21</f>
        <v>110.6</v>
      </c>
      <c r="V21" s="217">
        <f>SUM('[5]Свод Ваеги'!$F$24:$F$71,'[5]Свод Ваеги'!$F$16,'[5]Свод Ваеги'!$F$18,'[5]Свод Ваеги'!$F$20,'[5]Свод Ваеги'!$F$22)*V$58</f>
        <v>83.3</v>
      </c>
      <c r="W21" s="72">
        <f>V21</f>
        <v>83.3</v>
      </c>
      <c r="X21" s="108">
        <f>V21+W21</f>
        <v>166.6</v>
      </c>
      <c r="Y21" s="217">
        <f>SUM('[5]Свод Снежное'!$F$24:$F$71,'[5]Свод Снежное'!$F$16,'[5]Свод Снежное'!$F$18,'[5]Свод Снежное'!$F$20,'[5]Свод Снежное'!$F$22)*Y$58</f>
        <v>111.30000000000001</v>
      </c>
      <c r="Z21" s="72">
        <f>Y21</f>
        <v>111.30000000000001</v>
      </c>
      <c r="AA21" s="108">
        <f>Y21+Z21</f>
        <v>222.60000000000002</v>
      </c>
      <c r="AB21" s="217">
        <f>SUM('[5]Свод Марково'!$F$24:$F$71,'[5]Свод Марково'!$F$16,'[5]Свод Марково'!$F$18,'[5]Свод Марково'!$F$20,'[5]Свод Марково'!$F$22)*AB$58</f>
        <v>274.64999999999998</v>
      </c>
      <c r="AC21" s="72">
        <f>AB21</f>
        <v>274.64999999999998</v>
      </c>
      <c r="AD21" s="108">
        <f>AB21+AC21</f>
        <v>549.29999999999995</v>
      </c>
      <c r="AE21" s="217">
        <f>SUM('[5]Свод Усть-Белая'!$F$24:$F$71,'[5]Свод Усть-Белая'!$F$16,'[5]Свод Усть-Белая'!$F$18,'[5]Свод Усть-Белая'!$F$20,'[5]Свод Усть-Белая'!$F$22)*AE$58-230-9.35</f>
        <v>14.950000000000012</v>
      </c>
      <c r="AF21" s="72">
        <f>AE21</f>
        <v>14.950000000000012</v>
      </c>
      <c r="AG21" s="108">
        <f>AE21+AF21</f>
        <v>29.900000000000023</v>
      </c>
      <c r="AH21" s="217">
        <f>SUM('[6]Свод Новое Чаплино'!$F$24:$F$71,'[6]Свод Новое Чаплино'!$F$16,'[6]Свод Новое Чаплино'!$F$18,'[6]Свод Новое Чаплино'!$F$20,'[6]Свод Новое Чаплино'!$F$22)*AH$58</f>
        <v>37.799999999999997</v>
      </c>
      <c r="AI21" s="72">
        <f>AH21</f>
        <v>37.799999999999997</v>
      </c>
      <c r="AJ21" s="108">
        <f>AH21+AI21</f>
        <v>75.599999999999994</v>
      </c>
      <c r="AK21" s="217">
        <f>SUM('[6]Свод Провидения'!$F$24:$F$71,'[6]Свод Провидения'!$F$16,'[6]Свод Провидения'!$F$18,'[6]Свод Провидения'!$F$20,'[6]Свод Провидения'!$F$22,-'[6]Свод Провидения'!$F$51)*AK$58+47.5</f>
        <v>504.34999999999854</v>
      </c>
      <c r="AL21" s="72">
        <f>AK21</f>
        <v>504.34999999999854</v>
      </c>
      <c r="AM21" s="108">
        <f>AK21+AL21</f>
        <v>1008.6999999999971</v>
      </c>
      <c r="AN21" s="217">
        <f>SUM('[6]Свод Сиреники'!$F$24:$F$71,'[6]Свод Сиреники'!$F$16,'[6]Свод Сиреники'!$F$18,'[6]Свод Сиреники'!$F$20,'[6]Свод Сиреники'!$F$22,'[6]Свод Сиреники'!$F$21)*AN$58-12.55</f>
        <v>847.25000000000023</v>
      </c>
      <c r="AO21" s="72">
        <f>AN21</f>
        <v>847.25000000000023</v>
      </c>
      <c r="AP21" s="108">
        <f>AN21+AO21</f>
        <v>1694.5000000000005</v>
      </c>
    </row>
    <row r="22" spans="1:42" s="55" customFormat="1" ht="14.25" x14ac:dyDescent="0.2">
      <c r="A22" s="85" t="s">
        <v>41</v>
      </c>
      <c r="B22" s="68" t="s">
        <v>110</v>
      </c>
      <c r="C22" s="66" t="s">
        <v>90</v>
      </c>
      <c r="D22" s="114">
        <f>D17-D18</f>
        <v>13245.127121210158</v>
      </c>
      <c r="E22" s="116">
        <f t="shared" ref="E22:F22" si="64">E17-E18</f>
        <v>13245.127121210158</v>
      </c>
      <c r="F22" s="109">
        <f t="shared" si="64"/>
        <v>26490.254242420317</v>
      </c>
      <c r="G22" s="114">
        <f>G17-G18</f>
        <v>74339.183238096884</v>
      </c>
      <c r="H22" s="116">
        <f t="shared" ref="H22:I22" si="65">H17-H18</f>
        <v>74339.183238096884</v>
      </c>
      <c r="I22" s="109">
        <f t="shared" si="65"/>
        <v>148678.36647619377</v>
      </c>
      <c r="J22" s="114">
        <f>J17-J18</f>
        <v>4937.3669218333334</v>
      </c>
      <c r="K22" s="116">
        <f t="shared" ref="K22:L22" si="66">K17-K18</f>
        <v>4937.3669218333334</v>
      </c>
      <c r="L22" s="109">
        <f t="shared" si="66"/>
        <v>9874.7338436666669</v>
      </c>
      <c r="M22" s="114">
        <f>M17-M18</f>
        <v>27981.279512403809</v>
      </c>
      <c r="N22" s="116">
        <f t="shared" ref="N22" si="67">N17-N18</f>
        <v>27981.279512403809</v>
      </c>
      <c r="O22" s="109">
        <f>O17-O18</f>
        <v>55962.559024807619</v>
      </c>
      <c r="P22" s="114">
        <f>P17-P18</f>
        <v>8383.3752458333329</v>
      </c>
      <c r="Q22" s="116">
        <f t="shared" ref="Q22" si="68">Q17-Q18</f>
        <v>8383.3752458333329</v>
      </c>
      <c r="R22" s="109">
        <f>R17-R18</f>
        <v>16766.750491666666</v>
      </c>
      <c r="S22" s="114">
        <f>S17-S18</f>
        <v>5468.3698058333321</v>
      </c>
      <c r="T22" s="116">
        <f t="shared" ref="T22" si="69">T17-T18</f>
        <v>5468.3698058333321</v>
      </c>
      <c r="U22" s="109">
        <f>U17-U18</f>
        <v>10936.739611666664</v>
      </c>
      <c r="V22" s="114">
        <f>V17-V18</f>
        <v>6091.8477414999998</v>
      </c>
      <c r="W22" s="116">
        <f t="shared" ref="W22" si="70">W17-W18</f>
        <v>6091.8477414999998</v>
      </c>
      <c r="X22" s="109">
        <f>X17-X18</f>
        <v>12183.695483000001</v>
      </c>
      <c r="Y22" s="114">
        <f>Y17-Y18</f>
        <v>1964.6682908333335</v>
      </c>
      <c r="Z22" s="116">
        <f t="shared" ref="Z22" si="71">Z17-Z18</f>
        <v>1964.6682908333335</v>
      </c>
      <c r="AA22" s="109">
        <f>AA17-AA18</f>
        <v>3929.3365816666669</v>
      </c>
      <c r="AB22" s="114">
        <f>AB17-AB18</f>
        <v>18783.274479333337</v>
      </c>
      <c r="AC22" s="116">
        <f t="shared" ref="AC22" si="72">AC17-AC18</f>
        <v>18783.274479333337</v>
      </c>
      <c r="AD22" s="109">
        <f>AD17-AD18</f>
        <v>37566.548958666674</v>
      </c>
      <c r="AE22" s="114">
        <f>AE17-AE18</f>
        <v>13811.730645333339</v>
      </c>
      <c r="AF22" s="116">
        <f t="shared" ref="AF22" si="73">AF17-AF18</f>
        <v>13811.730645333339</v>
      </c>
      <c r="AG22" s="109">
        <f>AG17-AG18</f>
        <v>27623.461290666677</v>
      </c>
      <c r="AH22" s="114">
        <f>AH17-AH18</f>
        <v>13348.001339500002</v>
      </c>
      <c r="AI22" s="116">
        <f t="shared" ref="AI22" si="74">AI17-AI18</f>
        <v>13348.001339500002</v>
      </c>
      <c r="AJ22" s="109">
        <f>AJ17-AJ18</f>
        <v>26696.002679000005</v>
      </c>
      <c r="AK22" s="114">
        <f>AK17-AK18</f>
        <v>40022.089368737114</v>
      </c>
      <c r="AL22" s="116">
        <f t="shared" ref="AL22" si="75">AL17-AL18</f>
        <v>40022.089368737114</v>
      </c>
      <c r="AM22" s="109">
        <f>AM17-AM18</f>
        <v>80044.178737474227</v>
      </c>
      <c r="AN22" s="114">
        <f>AN17-AN18</f>
        <v>2622.6739523333335</v>
      </c>
      <c r="AO22" s="116">
        <f t="shared" ref="AO22" si="76">AO17-AO18</f>
        <v>2622.6739523333335</v>
      </c>
      <c r="AP22" s="109">
        <f>AP17-AP18</f>
        <v>5245.3479046666671</v>
      </c>
    </row>
    <row r="23" spans="1:42" s="55" customFormat="1" ht="15" x14ac:dyDescent="0.2">
      <c r="A23" s="85"/>
      <c r="B23" s="86" t="s">
        <v>111</v>
      </c>
      <c r="C23" s="66"/>
      <c r="D23" s="71">
        <f t="shared" ref="D23:AP23" si="77">D24+D31+D34</f>
        <v>13245.158162333333</v>
      </c>
      <c r="E23" s="72">
        <f t="shared" si="77"/>
        <v>13245.158162333335</v>
      </c>
      <c r="F23" s="108">
        <f t="shared" si="77"/>
        <v>26490.316324666666</v>
      </c>
      <c r="G23" s="71">
        <f t="shared" si="77"/>
        <v>74339.202728607095</v>
      </c>
      <c r="H23" s="72">
        <f t="shared" si="77"/>
        <v>74339.20272860711</v>
      </c>
      <c r="I23" s="108">
        <f t="shared" si="77"/>
        <v>148678.40545721419</v>
      </c>
      <c r="J23" s="71">
        <f t="shared" si="77"/>
        <v>4937.3669218333334</v>
      </c>
      <c r="K23" s="72">
        <f t="shared" si="77"/>
        <v>4937.3669218333334</v>
      </c>
      <c r="L23" s="108">
        <f t="shared" si="77"/>
        <v>9874.7338436666669</v>
      </c>
      <c r="M23" s="71">
        <f t="shared" si="77"/>
        <v>27981.284179000006</v>
      </c>
      <c r="N23" s="72">
        <f t="shared" si="77"/>
        <v>27981.284179000002</v>
      </c>
      <c r="O23" s="108">
        <f t="shared" si="77"/>
        <v>55962.568358000004</v>
      </c>
      <c r="P23" s="71">
        <f t="shared" si="77"/>
        <v>8383.350809333333</v>
      </c>
      <c r="Q23" s="72">
        <f t="shared" si="77"/>
        <v>8383.350809333333</v>
      </c>
      <c r="R23" s="108">
        <f t="shared" si="77"/>
        <v>16766.701618666666</v>
      </c>
      <c r="S23" s="71">
        <f t="shared" si="77"/>
        <v>5468.3698058333321</v>
      </c>
      <c r="T23" s="72">
        <f t="shared" si="77"/>
        <v>5468.369805833333</v>
      </c>
      <c r="U23" s="108">
        <f t="shared" si="77"/>
        <v>10936.739611666666</v>
      </c>
      <c r="V23" s="71">
        <f t="shared" si="77"/>
        <v>6091.8477414999998</v>
      </c>
      <c r="W23" s="72">
        <f t="shared" si="77"/>
        <v>6091.8477414999998</v>
      </c>
      <c r="X23" s="108">
        <f t="shared" si="77"/>
        <v>12183.695483</v>
      </c>
      <c r="Y23" s="71">
        <f t="shared" si="77"/>
        <v>1964.6682908333337</v>
      </c>
      <c r="Z23" s="72">
        <f t="shared" si="77"/>
        <v>1964.6682908333332</v>
      </c>
      <c r="AA23" s="108">
        <f t="shared" si="77"/>
        <v>3929.3365816666669</v>
      </c>
      <c r="AB23" s="71">
        <f t="shared" si="77"/>
        <v>18783.27447933333</v>
      </c>
      <c r="AC23" s="72">
        <f t="shared" si="77"/>
        <v>18783.274479333337</v>
      </c>
      <c r="AD23" s="108">
        <f t="shared" si="77"/>
        <v>37566.548958666674</v>
      </c>
      <c r="AE23" s="71">
        <f t="shared" si="77"/>
        <v>13811.730471333336</v>
      </c>
      <c r="AF23" s="72">
        <f t="shared" si="77"/>
        <v>13811.730471333336</v>
      </c>
      <c r="AG23" s="108">
        <f t="shared" si="77"/>
        <v>27623.460942666668</v>
      </c>
      <c r="AH23" s="71">
        <f t="shared" si="77"/>
        <v>13348.001339500001</v>
      </c>
      <c r="AI23" s="72">
        <f t="shared" si="77"/>
        <v>13348.001339500001</v>
      </c>
      <c r="AJ23" s="108">
        <f t="shared" si="77"/>
        <v>26696.002679000001</v>
      </c>
      <c r="AK23" s="71">
        <f t="shared" si="77"/>
        <v>40022.117063088161</v>
      </c>
      <c r="AL23" s="72">
        <f t="shared" si="77"/>
        <v>40022.117063088161</v>
      </c>
      <c r="AM23" s="108">
        <f t="shared" si="77"/>
        <v>80044.234126176321</v>
      </c>
      <c r="AN23" s="71">
        <f t="shared" si="77"/>
        <v>2622.6732623333337</v>
      </c>
      <c r="AO23" s="72">
        <f t="shared" si="77"/>
        <v>2622.6732623333328</v>
      </c>
      <c r="AP23" s="108">
        <f t="shared" si="77"/>
        <v>5245.3465246666665</v>
      </c>
    </row>
    <row r="24" spans="1:42" s="80" customFormat="1" ht="14.25" x14ac:dyDescent="0.2">
      <c r="A24" s="178" t="s">
        <v>112</v>
      </c>
      <c r="B24" s="87" t="s">
        <v>113</v>
      </c>
      <c r="C24" s="88" t="s">
        <v>90</v>
      </c>
      <c r="D24" s="114">
        <f t="shared" ref="D24:E24" si="78">D25+D28</f>
        <v>11843.108828999999</v>
      </c>
      <c r="E24" s="116">
        <f t="shared" si="78"/>
        <v>11843.108829000001</v>
      </c>
      <c r="F24" s="109">
        <f>[2]Канч!$M$25</f>
        <v>23686.217657999998</v>
      </c>
      <c r="G24" s="114">
        <f t="shared" ref="G24:H24" si="79">G25+G28</f>
        <v>56786.752241419497</v>
      </c>
      <c r="H24" s="116">
        <f t="shared" si="79"/>
        <v>56786.752241419512</v>
      </c>
      <c r="I24" s="109">
        <f>[2]У_Копи!$M$25</f>
        <v>113573.50448283901</v>
      </c>
      <c r="J24" s="114">
        <f t="shared" ref="J24:K24" si="80">J25+J28</f>
        <v>4469.3429751666663</v>
      </c>
      <c r="K24" s="116">
        <f t="shared" si="80"/>
        <v>4469.3429751666663</v>
      </c>
      <c r="L24" s="109">
        <f>[2]Алькат!$M$25</f>
        <v>8938.6859503333326</v>
      </c>
      <c r="M24" s="114">
        <f t="shared" ref="M24:N24" si="81">M25+M28</f>
        <v>25331.257029000004</v>
      </c>
      <c r="N24" s="116">
        <f t="shared" si="81"/>
        <v>25331.257029</v>
      </c>
      <c r="O24" s="109">
        <f>[2]Беринг!$M$25</f>
        <v>50662.514058000001</v>
      </c>
      <c r="P24" s="114">
        <f t="shared" ref="P24:Q24" si="82">P25+P28</f>
        <v>7564.1472026666661</v>
      </c>
      <c r="Q24" s="116">
        <f t="shared" si="82"/>
        <v>7564.147202666667</v>
      </c>
      <c r="R24" s="109">
        <f>[2]Мейнып!$M$25</f>
        <v>15128.294405333334</v>
      </c>
      <c r="S24" s="114">
        <f t="shared" ref="S24:T24" si="83">S25+S28</f>
        <v>5074.0651391666652</v>
      </c>
      <c r="T24" s="116">
        <f t="shared" si="83"/>
        <v>5074.0651391666661</v>
      </c>
      <c r="U24" s="109">
        <f>[2]Хатыр!$M$25</f>
        <v>10148.130278333332</v>
      </c>
      <c r="V24" s="114">
        <f t="shared" ref="V24:W24" si="84">V25+V28</f>
        <v>5285.0297415000005</v>
      </c>
      <c r="W24" s="116">
        <f t="shared" si="84"/>
        <v>5285.0297415000005</v>
      </c>
      <c r="X24" s="109">
        <f>[2]Ваеги!$M$25</f>
        <v>10570.059483000001</v>
      </c>
      <c r="Y24" s="114">
        <f t="shared" ref="Y24:Z24" si="85">Y25+Y28</f>
        <v>1786.4660450000003</v>
      </c>
      <c r="Z24" s="116">
        <f t="shared" si="85"/>
        <v>1786.4660449999999</v>
      </c>
      <c r="AA24" s="109">
        <f>[2]Снежн!$M$25</f>
        <v>3572.9320900000002</v>
      </c>
      <c r="AB24" s="114">
        <f t="shared" ref="AB24:AC24" si="86">AB25+AB28</f>
        <v>16717.862900999997</v>
      </c>
      <c r="AC24" s="116">
        <f t="shared" si="86"/>
        <v>16717.862901</v>
      </c>
      <c r="AD24" s="109">
        <f>[2]Марк!$M$25</f>
        <v>33435.725802000001</v>
      </c>
      <c r="AE24" s="114">
        <f t="shared" ref="AE24:AF24" si="87">AE25+AE28</f>
        <v>12380.624994666668</v>
      </c>
      <c r="AF24" s="116">
        <f t="shared" si="87"/>
        <v>12380.624994666668</v>
      </c>
      <c r="AG24" s="109">
        <f>[2]У_Бел!$M$25</f>
        <v>24761.249989333333</v>
      </c>
      <c r="AH24" s="114">
        <f t="shared" ref="AH24:AI24" si="88">AH25+AH28</f>
        <v>12911.182339500001</v>
      </c>
      <c r="AI24" s="116">
        <f t="shared" si="88"/>
        <v>12911.182339500001</v>
      </c>
      <c r="AJ24" s="109">
        <f>[2]Н_Чапл!$M$25</f>
        <v>25822.364679000002</v>
      </c>
      <c r="AK24" s="114">
        <f t="shared" ref="AK24:AL24" si="89">AK25+AK28</f>
        <v>34244.740450833335</v>
      </c>
      <c r="AL24" s="116">
        <f t="shared" si="89"/>
        <v>34244.740450833335</v>
      </c>
      <c r="AM24" s="109">
        <f>[2]Провид!$M$25</f>
        <v>68489.48090166667</v>
      </c>
      <c r="AN24" s="114">
        <f t="shared" ref="AN24:AO24" si="90">AN25+AN28</f>
        <v>2593.2339243333336</v>
      </c>
      <c r="AO24" s="116">
        <f t="shared" si="90"/>
        <v>2593.2339243333327</v>
      </c>
      <c r="AP24" s="109">
        <f>[2]Сирен!$M$25</f>
        <v>5186.4678486666662</v>
      </c>
    </row>
    <row r="25" spans="1:42" s="55" customFormat="1" ht="15" x14ac:dyDescent="0.2">
      <c r="A25" s="84"/>
      <c r="B25" s="73" t="s">
        <v>114</v>
      </c>
      <c r="C25" s="66" t="s">
        <v>90</v>
      </c>
      <c r="D25" s="71">
        <f t="shared" ref="D25:E25" si="91">D26+D27</f>
        <v>0</v>
      </c>
      <c r="E25" s="72">
        <f t="shared" si="91"/>
        <v>0</v>
      </c>
      <c r="F25" s="108">
        <f t="shared" ref="F25:F30" si="92">D25+E25</f>
        <v>0</v>
      </c>
      <c r="G25" s="71">
        <f t="shared" ref="G25:H25" si="93">G26+G27</f>
        <v>56786.752241419497</v>
      </c>
      <c r="H25" s="72">
        <f t="shared" si="93"/>
        <v>56786.752241419512</v>
      </c>
      <c r="I25" s="108">
        <f t="shared" ref="I25:I30" si="94">G25+H25</f>
        <v>113573.50448283901</v>
      </c>
      <c r="J25" s="71">
        <f t="shared" ref="J25:K25" si="95">J26+J27</f>
        <v>0</v>
      </c>
      <c r="K25" s="72">
        <f t="shared" si="95"/>
        <v>0</v>
      </c>
      <c r="L25" s="108">
        <f t="shared" ref="L25:L30" si="96">J25+K25</f>
        <v>0</v>
      </c>
      <c r="M25" s="71">
        <f t="shared" ref="M25:N25" si="97">M26+M27</f>
        <v>25331.257029000004</v>
      </c>
      <c r="N25" s="72">
        <f t="shared" si="97"/>
        <v>25331.257029</v>
      </c>
      <c r="O25" s="108">
        <f t="shared" ref="O25:O30" si="98">M25+N25</f>
        <v>50662.514058000001</v>
      </c>
      <c r="P25" s="71">
        <f t="shared" ref="P25:Q25" si="99">P26+P27</f>
        <v>0</v>
      </c>
      <c r="Q25" s="72">
        <f t="shared" si="99"/>
        <v>0</v>
      </c>
      <c r="R25" s="108">
        <f t="shared" ref="R25:R30" si="100">P25+Q25</f>
        <v>0</v>
      </c>
      <c r="S25" s="71">
        <f t="shared" ref="S25:T25" si="101">S26+S27</f>
        <v>0</v>
      </c>
      <c r="T25" s="72">
        <f t="shared" si="101"/>
        <v>0</v>
      </c>
      <c r="U25" s="108">
        <f t="shared" ref="U25:U30" si="102">S25+T25</f>
        <v>0</v>
      </c>
      <c r="V25" s="71">
        <f t="shared" ref="V25:W25" si="103">V26+V27</f>
        <v>0</v>
      </c>
      <c r="W25" s="72">
        <f t="shared" si="103"/>
        <v>0</v>
      </c>
      <c r="X25" s="108">
        <f t="shared" ref="X25:X30" si="104">V25+W25</f>
        <v>0</v>
      </c>
      <c r="Y25" s="71">
        <f t="shared" ref="Y25:Z25" si="105">Y26+Y27</f>
        <v>0</v>
      </c>
      <c r="Z25" s="72">
        <f t="shared" si="105"/>
        <v>0</v>
      </c>
      <c r="AA25" s="108">
        <f t="shared" ref="AA25:AA30" si="106">Y25+Z25</f>
        <v>0</v>
      </c>
      <c r="AB25" s="71">
        <f t="shared" ref="AB25:AC25" si="107">AB26+AB27</f>
        <v>0</v>
      </c>
      <c r="AC25" s="72">
        <f t="shared" si="107"/>
        <v>0</v>
      </c>
      <c r="AD25" s="108">
        <f t="shared" ref="AD25:AD30" si="108">AB25+AC25</f>
        <v>0</v>
      </c>
      <c r="AE25" s="71">
        <f t="shared" ref="AE25:AF25" si="109">AE26+AE27</f>
        <v>0</v>
      </c>
      <c r="AF25" s="72">
        <f t="shared" si="109"/>
        <v>0</v>
      </c>
      <c r="AG25" s="108">
        <f t="shared" ref="AG25:AG30" si="110">AE25+AF25</f>
        <v>0</v>
      </c>
      <c r="AH25" s="71">
        <f t="shared" ref="AH25:AI25" si="111">AH26+AH27</f>
        <v>0</v>
      </c>
      <c r="AI25" s="72">
        <f t="shared" si="111"/>
        <v>0</v>
      </c>
      <c r="AJ25" s="108">
        <f t="shared" ref="AJ25:AJ30" si="112">AH25+AI25</f>
        <v>0</v>
      </c>
      <c r="AK25" s="71">
        <f t="shared" ref="AK25:AL25" si="113">AK26+AK27</f>
        <v>34244.740450833335</v>
      </c>
      <c r="AL25" s="72">
        <f t="shared" si="113"/>
        <v>34244.740450833335</v>
      </c>
      <c r="AM25" s="108">
        <f t="shared" ref="AM25:AM30" si="114">AK25+AL25</f>
        <v>68489.48090166667</v>
      </c>
      <c r="AN25" s="71">
        <f t="shared" ref="AN25:AO25" si="115">AN26+AN27</f>
        <v>0</v>
      </c>
      <c r="AO25" s="72">
        <f t="shared" si="115"/>
        <v>0</v>
      </c>
      <c r="AP25" s="108">
        <f t="shared" ref="AP25:AP30" si="116">AN25+AO25</f>
        <v>0</v>
      </c>
    </row>
    <row r="26" spans="1:42" s="55" customFormat="1" ht="15" x14ac:dyDescent="0.2">
      <c r="A26" s="61"/>
      <c r="B26" s="92" t="s">
        <v>115</v>
      </c>
      <c r="C26" s="63" t="s">
        <v>90</v>
      </c>
      <c r="D26" s="71">
        <f>$F$24*D62*D$58</f>
        <v>0</v>
      </c>
      <c r="E26" s="72">
        <f>$F$24*E62*E$58</f>
        <v>0</v>
      </c>
      <c r="F26" s="108">
        <f t="shared" si="92"/>
        <v>0</v>
      </c>
      <c r="G26" s="71">
        <f>$I$24*G62*G$58</f>
        <v>43210.510983478256</v>
      </c>
      <c r="H26" s="72">
        <f>$I$24*H62*H$58</f>
        <v>46105.380687075864</v>
      </c>
      <c r="I26" s="108">
        <f t="shared" si="94"/>
        <v>89315.89167055412</v>
      </c>
      <c r="J26" s="71">
        <f>L$24*J62*J$58</f>
        <v>0</v>
      </c>
      <c r="K26" s="72">
        <f>L$24*K62*K$58</f>
        <v>0</v>
      </c>
      <c r="L26" s="108">
        <f t="shared" si="96"/>
        <v>0</v>
      </c>
      <c r="M26" s="71">
        <f>O$24*M62*M$58</f>
        <v>4199.8151226381497</v>
      </c>
      <c r="N26" s="72">
        <f>O$24*N62*N$58</f>
        <v>2719.727923557658</v>
      </c>
      <c r="O26" s="108">
        <f t="shared" si="98"/>
        <v>6919.5430461958076</v>
      </c>
      <c r="P26" s="71">
        <f>R$24*P62*P$58</f>
        <v>0</v>
      </c>
      <c r="Q26" s="72">
        <f>R$24*Q62*Q$58</f>
        <v>0</v>
      </c>
      <c r="R26" s="108">
        <f t="shared" si="100"/>
        <v>0</v>
      </c>
      <c r="S26" s="71">
        <f>U$24*S62*S$58</f>
        <v>0</v>
      </c>
      <c r="T26" s="72">
        <f>U$24*T62*T$58</f>
        <v>0</v>
      </c>
      <c r="U26" s="108">
        <f t="shared" si="102"/>
        <v>0</v>
      </c>
      <c r="V26" s="71">
        <f>X$24*V62*V$58</f>
        <v>0</v>
      </c>
      <c r="W26" s="72">
        <f>X$24*W62*W$58</f>
        <v>0</v>
      </c>
      <c r="X26" s="108">
        <f t="shared" si="104"/>
        <v>0</v>
      </c>
      <c r="Y26" s="71">
        <f>AA$24*Y62*Y$58</f>
        <v>0</v>
      </c>
      <c r="Z26" s="72">
        <f>AA$24*Z62*Z$58</f>
        <v>0</v>
      </c>
      <c r="AA26" s="108">
        <f t="shared" si="106"/>
        <v>0</v>
      </c>
      <c r="AB26" s="71">
        <f>AD$24*AB62*AB$58</f>
        <v>0</v>
      </c>
      <c r="AC26" s="72">
        <f>AD$24*AC62*AC$58</f>
        <v>0</v>
      </c>
      <c r="AD26" s="108">
        <f t="shared" si="108"/>
        <v>0</v>
      </c>
      <c r="AE26" s="71">
        <f>AG$24*AE62*AE$58</f>
        <v>0</v>
      </c>
      <c r="AF26" s="72">
        <f>AG$24*AF62*AF$58</f>
        <v>0</v>
      </c>
      <c r="AG26" s="108">
        <f t="shared" si="110"/>
        <v>0</v>
      </c>
      <c r="AH26" s="71">
        <f>AJ$24*AH62*AH$58</f>
        <v>0</v>
      </c>
      <c r="AI26" s="72">
        <f>AJ$24*AI62*AI$58</f>
        <v>0</v>
      </c>
      <c r="AJ26" s="108">
        <f t="shared" si="112"/>
        <v>0</v>
      </c>
      <c r="AK26" s="71">
        <f>AM$24*AK62*AK$58</f>
        <v>19529.556512451596</v>
      </c>
      <c r="AL26" s="72">
        <f>AM$24*AL62*AL$58</f>
        <v>27039.516858195137</v>
      </c>
      <c r="AM26" s="108">
        <f t="shared" si="114"/>
        <v>46569.073370646729</v>
      </c>
      <c r="AN26" s="71">
        <f>AP$24*AN62*AN$58</f>
        <v>0</v>
      </c>
      <c r="AO26" s="72">
        <f>AP$24*AO62*AO$58</f>
        <v>0</v>
      </c>
      <c r="AP26" s="108">
        <f t="shared" si="116"/>
        <v>0</v>
      </c>
    </row>
    <row r="27" spans="1:42" s="55" customFormat="1" ht="15" x14ac:dyDescent="0.2">
      <c r="A27" s="84"/>
      <c r="B27" s="65" t="s">
        <v>116</v>
      </c>
      <c r="C27" s="66" t="s">
        <v>90</v>
      </c>
      <c r="D27" s="71">
        <f>$F$24*D63*D$58</f>
        <v>0</v>
      </c>
      <c r="E27" s="72">
        <f>$F$24*E63*E$58</f>
        <v>0</v>
      </c>
      <c r="F27" s="108">
        <f t="shared" si="92"/>
        <v>0</v>
      </c>
      <c r="G27" s="71">
        <f>$I$24*G63*G$58</f>
        <v>13576.241257941241</v>
      </c>
      <c r="H27" s="72">
        <f>$I$24*H63*H$58</f>
        <v>10681.371554343645</v>
      </c>
      <c r="I27" s="108">
        <f t="shared" si="94"/>
        <v>24257.612812284886</v>
      </c>
      <c r="J27" s="71">
        <f>L$24*J63*J$58</f>
        <v>0</v>
      </c>
      <c r="K27" s="72">
        <f>L$24*K63*K$58</f>
        <v>0</v>
      </c>
      <c r="L27" s="108">
        <f t="shared" si="96"/>
        <v>0</v>
      </c>
      <c r="M27" s="71">
        <f>O$24*M63*M$58</f>
        <v>21131.441906361855</v>
      </c>
      <c r="N27" s="72">
        <f>O$24*N63*N$58</f>
        <v>22611.529105442343</v>
      </c>
      <c r="O27" s="108">
        <f t="shared" si="98"/>
        <v>43742.971011804198</v>
      </c>
      <c r="P27" s="71">
        <f>R$24*P63*P$58</f>
        <v>0</v>
      </c>
      <c r="Q27" s="72">
        <f>R$24*Q63*Q$58</f>
        <v>0</v>
      </c>
      <c r="R27" s="108">
        <f t="shared" si="100"/>
        <v>0</v>
      </c>
      <c r="S27" s="71">
        <f>U$24*S63*S$58</f>
        <v>0</v>
      </c>
      <c r="T27" s="72">
        <f>U$24*T63*T$58</f>
        <v>0</v>
      </c>
      <c r="U27" s="108">
        <f t="shared" si="102"/>
        <v>0</v>
      </c>
      <c r="V27" s="71">
        <f>X$24*V63*V$58</f>
        <v>0</v>
      </c>
      <c r="W27" s="72">
        <f>X$24*W63*W$58</f>
        <v>0</v>
      </c>
      <c r="X27" s="108">
        <f t="shared" si="104"/>
        <v>0</v>
      </c>
      <c r="Y27" s="71">
        <f>AA$24*Y63*Y$58</f>
        <v>0</v>
      </c>
      <c r="Z27" s="72">
        <f>AA$24*Z63*Z$58</f>
        <v>0</v>
      </c>
      <c r="AA27" s="108">
        <f t="shared" si="106"/>
        <v>0</v>
      </c>
      <c r="AB27" s="71">
        <f>AD$24*AB63*AB$58</f>
        <v>0</v>
      </c>
      <c r="AC27" s="72">
        <f>AD$24*AC63*AC$58</f>
        <v>0</v>
      </c>
      <c r="AD27" s="108">
        <f t="shared" si="108"/>
        <v>0</v>
      </c>
      <c r="AE27" s="71">
        <f>AG$24*AE63*AE$58</f>
        <v>0</v>
      </c>
      <c r="AF27" s="72">
        <f>AG$24*AF63*AF$58</f>
        <v>0</v>
      </c>
      <c r="AG27" s="108">
        <f t="shared" si="110"/>
        <v>0</v>
      </c>
      <c r="AH27" s="71">
        <f>AJ$24*AH63*AH$58</f>
        <v>0</v>
      </c>
      <c r="AI27" s="72">
        <f>AJ$24*AI63*AI$58</f>
        <v>0</v>
      </c>
      <c r="AJ27" s="108">
        <f t="shared" si="112"/>
        <v>0</v>
      </c>
      <c r="AK27" s="71">
        <f>AM$24*AK63*AK$58</f>
        <v>14715.183938381741</v>
      </c>
      <c r="AL27" s="72">
        <f>AM$24*AL63*AL$58</f>
        <v>7205.2235926381964</v>
      </c>
      <c r="AM27" s="108">
        <f t="shared" si="114"/>
        <v>21920.407531019937</v>
      </c>
      <c r="AN27" s="71">
        <f>AP$24*AN63*AN$58</f>
        <v>0</v>
      </c>
      <c r="AO27" s="72">
        <f>AP$24*AO63*AO$58</f>
        <v>0</v>
      </c>
      <c r="AP27" s="108">
        <f t="shared" si="116"/>
        <v>0</v>
      </c>
    </row>
    <row r="28" spans="1:42" s="55" customFormat="1" ht="15" x14ac:dyDescent="0.2">
      <c r="A28" s="85" t="s">
        <v>117</v>
      </c>
      <c r="B28" s="73" t="s">
        <v>118</v>
      </c>
      <c r="C28" s="66" t="s">
        <v>90</v>
      </c>
      <c r="D28" s="71">
        <f t="shared" ref="D28:E28" si="117">D29+D30</f>
        <v>11843.108828999999</v>
      </c>
      <c r="E28" s="72">
        <f t="shared" si="117"/>
        <v>11843.108829000001</v>
      </c>
      <c r="F28" s="108">
        <f t="shared" si="92"/>
        <v>23686.217658000001</v>
      </c>
      <c r="G28" s="71">
        <f t="shared" ref="G28:H28" si="118">G29+G30</f>
        <v>0</v>
      </c>
      <c r="H28" s="72">
        <f t="shared" si="118"/>
        <v>0</v>
      </c>
      <c r="I28" s="108">
        <f t="shared" ref="I28" si="119">G28+H28</f>
        <v>0</v>
      </c>
      <c r="J28" s="71">
        <f t="shared" ref="J28:K28" si="120">J29+J30</f>
        <v>4469.3429751666663</v>
      </c>
      <c r="K28" s="72">
        <f t="shared" si="120"/>
        <v>4469.3429751666663</v>
      </c>
      <c r="L28" s="108">
        <f t="shared" si="96"/>
        <v>8938.6859503333326</v>
      </c>
      <c r="M28" s="71">
        <f t="shared" ref="M28:N28" si="121">M29+M30</f>
        <v>0</v>
      </c>
      <c r="N28" s="72">
        <f t="shared" si="121"/>
        <v>0</v>
      </c>
      <c r="O28" s="108">
        <f t="shared" si="98"/>
        <v>0</v>
      </c>
      <c r="P28" s="71">
        <f t="shared" ref="P28:Q28" si="122">P29+P30</f>
        <v>7564.1472026666661</v>
      </c>
      <c r="Q28" s="72">
        <f t="shared" si="122"/>
        <v>7564.147202666667</v>
      </c>
      <c r="R28" s="108">
        <f t="shared" si="100"/>
        <v>15128.294405333334</v>
      </c>
      <c r="S28" s="71">
        <f t="shared" ref="S28:T28" si="123">S29+S30</f>
        <v>5074.0651391666652</v>
      </c>
      <c r="T28" s="72">
        <f t="shared" si="123"/>
        <v>5074.0651391666661</v>
      </c>
      <c r="U28" s="108">
        <f t="shared" si="102"/>
        <v>10148.13027833333</v>
      </c>
      <c r="V28" s="71">
        <f t="shared" ref="V28:W28" si="124">V29+V30</f>
        <v>5285.0297415000005</v>
      </c>
      <c r="W28" s="72">
        <f t="shared" si="124"/>
        <v>5285.0297415000005</v>
      </c>
      <c r="X28" s="108">
        <f t="shared" si="104"/>
        <v>10570.059483000001</v>
      </c>
      <c r="Y28" s="71">
        <f t="shared" ref="Y28:Z28" si="125">Y29+Y30</f>
        <v>1786.4660450000003</v>
      </c>
      <c r="Z28" s="72">
        <f t="shared" si="125"/>
        <v>1786.4660449999999</v>
      </c>
      <c r="AA28" s="108">
        <f t="shared" si="106"/>
        <v>3572.9320900000002</v>
      </c>
      <c r="AB28" s="71">
        <f t="shared" ref="AB28:AC28" si="126">AB29+AB30</f>
        <v>16717.862900999997</v>
      </c>
      <c r="AC28" s="72">
        <f t="shared" si="126"/>
        <v>16717.862901</v>
      </c>
      <c r="AD28" s="108">
        <f t="shared" si="108"/>
        <v>33435.725802000001</v>
      </c>
      <c r="AE28" s="71">
        <f t="shared" ref="AE28:AF28" si="127">AE29+AE30</f>
        <v>12380.624994666668</v>
      </c>
      <c r="AF28" s="72">
        <f t="shared" si="127"/>
        <v>12380.624994666668</v>
      </c>
      <c r="AG28" s="108">
        <f t="shared" si="110"/>
        <v>24761.249989333337</v>
      </c>
      <c r="AH28" s="71">
        <f t="shared" ref="AH28:AI28" si="128">AH29+AH30</f>
        <v>12911.182339500001</v>
      </c>
      <c r="AI28" s="72">
        <f t="shared" si="128"/>
        <v>12911.182339500001</v>
      </c>
      <c r="AJ28" s="108">
        <f t="shared" si="112"/>
        <v>25822.364679000002</v>
      </c>
      <c r="AK28" s="71">
        <f t="shared" ref="AK28:AL28" si="129">AK29+AK30</f>
        <v>0</v>
      </c>
      <c r="AL28" s="72">
        <f t="shared" si="129"/>
        <v>0</v>
      </c>
      <c r="AM28" s="108">
        <f t="shared" si="114"/>
        <v>0</v>
      </c>
      <c r="AN28" s="71">
        <f t="shared" ref="AN28:AO28" si="130">AN29+AN30</f>
        <v>2593.2339243333336</v>
      </c>
      <c r="AO28" s="72">
        <f t="shared" si="130"/>
        <v>2593.2339243333327</v>
      </c>
      <c r="AP28" s="108">
        <f t="shared" si="116"/>
        <v>5186.4678486666662</v>
      </c>
    </row>
    <row r="29" spans="1:42" s="55" customFormat="1" ht="15" x14ac:dyDescent="0.2">
      <c r="A29" s="84"/>
      <c r="B29" s="65" t="s">
        <v>115</v>
      </c>
      <c r="C29" s="66" t="s">
        <v>90</v>
      </c>
      <c r="D29" s="71">
        <f>$F$24*D65*D$58</f>
        <v>5323.7907901610106</v>
      </c>
      <c r="E29" s="72">
        <f>$F$24*E65*E$58</f>
        <v>5354.719543471886</v>
      </c>
      <c r="F29" s="108">
        <f t="shared" si="92"/>
        <v>10678.510333632898</v>
      </c>
      <c r="G29" s="71">
        <f>$I$24*G65*G$58</f>
        <v>0</v>
      </c>
      <c r="H29" s="72">
        <f t="shared" ref="H29" si="131">$I$24*H65*H$58</f>
        <v>0</v>
      </c>
      <c r="I29" s="108">
        <f t="shared" si="94"/>
        <v>0</v>
      </c>
      <c r="J29" s="71">
        <f>L$24*J65*J$58</f>
        <v>796.90142204615677</v>
      </c>
      <c r="K29" s="72">
        <f>L$24*K65*K$58</f>
        <v>1051.8907510350527</v>
      </c>
      <c r="L29" s="108">
        <f t="shared" si="96"/>
        <v>1848.7921730812095</v>
      </c>
      <c r="M29" s="71">
        <f>O$24*M65*M$58</f>
        <v>0</v>
      </c>
      <c r="N29" s="72">
        <f>O$24*N65*N$58</f>
        <v>0</v>
      </c>
      <c r="O29" s="108">
        <f t="shared" si="98"/>
        <v>0</v>
      </c>
      <c r="P29" s="71">
        <f>R$24*P65*P$58</f>
        <v>4973.2213312144204</v>
      </c>
      <c r="Q29" s="72">
        <f>R$24*Q65*Q$58</f>
        <v>5363.6068888183081</v>
      </c>
      <c r="R29" s="108">
        <f t="shared" si="100"/>
        <v>10336.828220032728</v>
      </c>
      <c r="S29" s="71">
        <f>U$24*S65*S$58</f>
        <v>3592.6878648194729</v>
      </c>
      <c r="T29" s="72">
        <f>U$24*T65*T$58</f>
        <v>3576.4202075557123</v>
      </c>
      <c r="U29" s="108">
        <f t="shared" si="102"/>
        <v>7169.1080723751857</v>
      </c>
      <c r="V29" s="71">
        <f>X$24*V65*V$58</f>
        <v>3320.0980278292882</v>
      </c>
      <c r="W29" s="72">
        <f>X$24*W65*W$58</f>
        <v>3731.2794084962497</v>
      </c>
      <c r="X29" s="108">
        <f t="shared" si="104"/>
        <v>7051.3774363255379</v>
      </c>
      <c r="Y29" s="71">
        <f>AA$24*Y65*Y$58</f>
        <v>905.95185521432836</v>
      </c>
      <c r="Z29" s="72">
        <f>AA$24*Z65*Z$58</f>
        <v>441.28644635802948</v>
      </c>
      <c r="AA29" s="108">
        <f t="shared" si="106"/>
        <v>1347.2383015723578</v>
      </c>
      <c r="AB29" s="71">
        <f>AD$24*AB65*AB$58</f>
        <v>9956.7404713358792</v>
      </c>
      <c r="AC29" s="72">
        <f>AD$24*AC65*AC$58</f>
        <v>12929.085820226775</v>
      </c>
      <c r="AD29" s="108">
        <f t="shared" si="108"/>
        <v>22885.826291562655</v>
      </c>
      <c r="AE29" s="71">
        <f>AG$24*AE65*AE$58</f>
        <v>7287.6564724215395</v>
      </c>
      <c r="AF29" s="72">
        <f>AG$24*AF65*AF$58</f>
        <v>7033.755264574228</v>
      </c>
      <c r="AG29" s="108">
        <f t="shared" si="110"/>
        <v>14321.411736995768</v>
      </c>
      <c r="AH29" s="71">
        <f>AJ$24*AH65*AH$58</f>
        <v>761.91537947164363</v>
      </c>
      <c r="AI29" s="72">
        <f>AJ$24*AI65*AI$58</f>
        <v>1212.7961221545781</v>
      </c>
      <c r="AJ29" s="108">
        <f t="shared" si="112"/>
        <v>1974.7115016262219</v>
      </c>
      <c r="AK29" s="71">
        <f>AM$24*AK65*AK$58</f>
        <v>0</v>
      </c>
      <c r="AL29" s="72">
        <f>AM$24*AL65*AL$58</f>
        <v>0</v>
      </c>
      <c r="AM29" s="108">
        <f t="shared" si="114"/>
        <v>0</v>
      </c>
      <c r="AN29" s="71">
        <f>AP$24*AN65*AN$58</f>
        <v>509.3153682861975</v>
      </c>
      <c r="AO29" s="72">
        <f>AP$24*AO65*AO$58</f>
        <v>887.94280382129978</v>
      </c>
      <c r="AP29" s="108">
        <f t="shared" si="116"/>
        <v>1397.2581721074973</v>
      </c>
    </row>
    <row r="30" spans="1:42" s="55" customFormat="1" ht="15" x14ac:dyDescent="0.2">
      <c r="A30" s="84"/>
      <c r="B30" s="65" t="s">
        <v>116</v>
      </c>
      <c r="C30" s="66" t="s">
        <v>90</v>
      </c>
      <c r="D30" s="71">
        <f>$F$24*D66*D$58</f>
        <v>6519.3180388389883</v>
      </c>
      <c r="E30" s="72">
        <f>$F$24*E66*E$58</f>
        <v>6488.3892855281138</v>
      </c>
      <c r="F30" s="108">
        <f t="shared" si="92"/>
        <v>13007.707324367102</v>
      </c>
      <c r="G30" s="71">
        <f t="shared" ref="G30:H30" si="132">$I$24*G66*G$58</f>
        <v>0</v>
      </c>
      <c r="H30" s="72">
        <f t="shared" si="132"/>
        <v>0</v>
      </c>
      <c r="I30" s="108">
        <f t="shared" si="94"/>
        <v>0</v>
      </c>
      <c r="J30" s="71">
        <f>L$24*J66*J$58</f>
        <v>3672.4415531205095</v>
      </c>
      <c r="K30" s="72">
        <f>L$24*K66*K$58</f>
        <v>3417.452224131614</v>
      </c>
      <c r="L30" s="108">
        <f t="shared" si="96"/>
        <v>7089.893777252124</v>
      </c>
      <c r="M30" s="71">
        <f>O$24*M66*M$58</f>
        <v>0</v>
      </c>
      <c r="N30" s="72">
        <f>O$24*N66*N$58</f>
        <v>0</v>
      </c>
      <c r="O30" s="108">
        <f t="shared" si="98"/>
        <v>0</v>
      </c>
      <c r="P30" s="71">
        <f>R$24*P66*P$58</f>
        <v>2590.9258714522457</v>
      </c>
      <c r="Q30" s="72">
        <f>R$24*Q66*Q$58</f>
        <v>2200.5403138483584</v>
      </c>
      <c r="R30" s="108">
        <f t="shared" si="100"/>
        <v>4791.4661853006037</v>
      </c>
      <c r="S30" s="71">
        <f>U$24*S66*S$58</f>
        <v>1481.3772743471927</v>
      </c>
      <c r="T30" s="72">
        <f>U$24*T66*T$58</f>
        <v>1497.644931610954</v>
      </c>
      <c r="U30" s="108">
        <f t="shared" si="102"/>
        <v>2979.0222059581465</v>
      </c>
      <c r="V30" s="71">
        <f>X$24*V66*V$58</f>
        <v>1964.931713670712</v>
      </c>
      <c r="W30" s="72">
        <f>X$24*W66*W$58</f>
        <v>1553.7503330037507</v>
      </c>
      <c r="X30" s="108">
        <f t="shared" si="104"/>
        <v>3518.682046674463</v>
      </c>
      <c r="Y30" s="71">
        <f>AA$24*Y66*Y$58</f>
        <v>880.51418978567199</v>
      </c>
      <c r="Z30" s="72">
        <f>AA$24*Z66*Z$58</f>
        <v>1345.1795986419704</v>
      </c>
      <c r="AA30" s="108">
        <f t="shared" si="106"/>
        <v>2225.6937884276422</v>
      </c>
      <c r="AB30" s="71">
        <f>AD$24*AB66*AB$58</f>
        <v>6761.1224296641176</v>
      </c>
      <c r="AC30" s="72">
        <f>AD$24*AC66*AC$58</f>
        <v>3788.7770807732254</v>
      </c>
      <c r="AD30" s="108">
        <f t="shared" si="108"/>
        <v>10549.899510437343</v>
      </c>
      <c r="AE30" s="71">
        <f>AG$24*AE66*AE$58</f>
        <v>5092.968522245128</v>
      </c>
      <c r="AF30" s="72">
        <f>AG$24*AF66*AF$58</f>
        <v>5346.8697300924396</v>
      </c>
      <c r="AG30" s="108">
        <f t="shared" si="110"/>
        <v>10439.838252337568</v>
      </c>
      <c r="AH30" s="71">
        <f>AJ$24*AH66*AH$58</f>
        <v>12149.266960028357</v>
      </c>
      <c r="AI30" s="72">
        <f>AJ$24*AI66*AI$58</f>
        <v>11698.386217345424</v>
      </c>
      <c r="AJ30" s="108">
        <f t="shared" si="112"/>
        <v>23847.653177373781</v>
      </c>
      <c r="AK30" s="71">
        <f>AM$24*AK66*AK$58</f>
        <v>0</v>
      </c>
      <c r="AL30" s="72">
        <f>AM$24*AL66*AL$58</f>
        <v>0</v>
      </c>
      <c r="AM30" s="108">
        <f t="shared" si="114"/>
        <v>0</v>
      </c>
      <c r="AN30" s="71">
        <f>AP$24*AN66*AN$58</f>
        <v>2083.918556047136</v>
      </c>
      <c r="AO30" s="72">
        <f>AP$24*AO66*AO$58</f>
        <v>1705.2911205120331</v>
      </c>
      <c r="AP30" s="108">
        <f t="shared" si="116"/>
        <v>3789.2096765591691</v>
      </c>
    </row>
    <row r="31" spans="1:42" s="80" customFormat="1" ht="14.25" x14ac:dyDescent="0.2">
      <c r="A31" s="178" t="s">
        <v>119</v>
      </c>
      <c r="B31" s="93" t="s">
        <v>120</v>
      </c>
      <c r="C31" s="88" t="s">
        <v>90</v>
      </c>
      <c r="D31" s="114">
        <f t="shared" ref="D31:E31" si="133">D32+D33</f>
        <v>941.75249999999994</v>
      </c>
      <c r="E31" s="116">
        <f t="shared" si="133"/>
        <v>941.75249999999994</v>
      </c>
      <c r="F31" s="109">
        <f>[2]Канч!$M$28</f>
        <v>1883.5049999999999</v>
      </c>
      <c r="G31" s="114">
        <f t="shared" ref="G31:H31" si="134">G32+G33</f>
        <v>9127.4523421875892</v>
      </c>
      <c r="H31" s="116">
        <f t="shared" si="134"/>
        <v>9127.4523421875892</v>
      </c>
      <c r="I31" s="109">
        <f>[2]У_Копи!$M$28</f>
        <v>18254.904684375178</v>
      </c>
      <c r="J31" s="114">
        <f t="shared" ref="J31:K31" si="135">J32+J33</f>
        <v>342.68736333333339</v>
      </c>
      <c r="K31" s="116">
        <f t="shared" si="135"/>
        <v>342.68736333333339</v>
      </c>
      <c r="L31" s="109">
        <f>[2]Алькат!$M$28</f>
        <v>685.37472666666679</v>
      </c>
      <c r="M31" s="114">
        <f t="shared" ref="M31:N31" si="136">M32+M33</f>
        <v>1618.643</v>
      </c>
      <c r="N31" s="116">
        <f t="shared" si="136"/>
        <v>1618.6430000000003</v>
      </c>
      <c r="O31" s="109">
        <f>[2]Беринг!$M$28</f>
        <v>3237.2860000000001</v>
      </c>
      <c r="P31" s="114">
        <f t="shared" ref="P31:Q31" si="137">P32+P33</f>
        <v>493.07810666666671</v>
      </c>
      <c r="Q31" s="116">
        <f t="shared" si="137"/>
        <v>493.07810666666666</v>
      </c>
      <c r="R31" s="109">
        <f>[2]Мейнып!$M$28</f>
        <v>986.15621333333331</v>
      </c>
      <c r="S31" s="114">
        <f t="shared" ref="S31:T31" si="138">S32+S33</f>
        <v>189.3313333333333</v>
      </c>
      <c r="T31" s="116">
        <f t="shared" si="138"/>
        <v>189.3313333333333</v>
      </c>
      <c r="U31" s="109">
        <f>[2]Хатыр!$M$28</f>
        <v>378.66266666666661</v>
      </c>
      <c r="V31" s="114">
        <f t="shared" ref="V31:W31" si="139">V32+V33</f>
        <v>370.08800000000002</v>
      </c>
      <c r="W31" s="116">
        <f t="shared" si="139"/>
        <v>370.08800000000002</v>
      </c>
      <c r="X31" s="109">
        <f>[2]Ваеги!$M$28</f>
        <v>740.17600000000004</v>
      </c>
      <c r="Y31" s="114">
        <f t="shared" ref="Y31:Z31" si="140">Y32+Y33</f>
        <v>101.68774583333334</v>
      </c>
      <c r="Z31" s="116">
        <f t="shared" si="140"/>
        <v>101.68774583333334</v>
      </c>
      <c r="AA31" s="109">
        <f>[2]Снежн!$M$28</f>
        <v>203.37549166666668</v>
      </c>
      <c r="AB31" s="114">
        <f t="shared" ref="AB31:AC31" si="141">AB32+AB33</f>
        <v>1288.3882450000001</v>
      </c>
      <c r="AC31" s="116">
        <f t="shared" si="141"/>
        <v>1288.3882450000003</v>
      </c>
      <c r="AD31" s="109">
        <f>[2]Марк!$M$28</f>
        <v>2576.7764900000002</v>
      </c>
      <c r="AE31" s="114">
        <f t="shared" ref="AE31:AF31" si="142">AE32+AE33</f>
        <v>1311.075</v>
      </c>
      <c r="AF31" s="116">
        <f t="shared" si="142"/>
        <v>1311.075</v>
      </c>
      <c r="AG31" s="109">
        <f>[2]У_Бел!$M$28</f>
        <v>2622.15</v>
      </c>
      <c r="AH31" s="114">
        <f t="shared" ref="AH31:AI31" si="143">AH32+AH33</f>
        <v>358.95199999999994</v>
      </c>
      <c r="AI31" s="116">
        <f t="shared" si="143"/>
        <v>358.95199999999994</v>
      </c>
      <c r="AJ31" s="109">
        <f>[2]Н_Чапл!$M$28</f>
        <v>717.904</v>
      </c>
      <c r="AK31" s="114">
        <f t="shared" ref="AK31:AL31" si="144">AK32+AK33</f>
        <v>4114.4020516666669</v>
      </c>
      <c r="AL31" s="116">
        <f t="shared" si="144"/>
        <v>4114.4020516666669</v>
      </c>
      <c r="AM31" s="109">
        <f>[2]Провид!$M$28</f>
        <v>8228.8041033333338</v>
      </c>
      <c r="AN31" s="114">
        <f t="shared" ref="AN31:AO31" si="145">AN32+AN33</f>
        <v>2.2915046666666665</v>
      </c>
      <c r="AO31" s="116">
        <f t="shared" si="145"/>
        <v>2.2915046666666665</v>
      </c>
      <c r="AP31" s="109">
        <f>[2]Сирен!$M$28</f>
        <v>4.583009333333333</v>
      </c>
    </row>
    <row r="32" spans="1:42" s="55" customFormat="1" ht="15" x14ac:dyDescent="0.2">
      <c r="A32" s="94"/>
      <c r="B32" s="95" t="s">
        <v>115</v>
      </c>
      <c r="C32" s="74" t="s">
        <v>90</v>
      </c>
      <c r="D32" s="71">
        <f>$F$31*D68*D$58</f>
        <v>941.75249999999994</v>
      </c>
      <c r="E32" s="72">
        <f>$F$31*E68*E$58</f>
        <v>941.75249999999994</v>
      </c>
      <c r="F32" s="108">
        <f>D32+E32</f>
        <v>1883.5049999999999</v>
      </c>
      <c r="G32" s="71">
        <f>$I$31*G68*G$58</f>
        <v>7694.7225782074975</v>
      </c>
      <c r="H32" s="72">
        <f>$I$31*H68*H$58</f>
        <v>7859.5281949155678</v>
      </c>
      <c r="I32" s="108">
        <f>G32+H32</f>
        <v>15554.250773123065</v>
      </c>
      <c r="J32" s="71">
        <f>L$31*J68*J$58</f>
        <v>336.73144236039496</v>
      </c>
      <c r="K32" s="72">
        <f>L$31*K68*K$58</f>
        <v>332.46471150467119</v>
      </c>
      <c r="L32" s="108">
        <f>J32+K32</f>
        <v>669.19615386506621</v>
      </c>
      <c r="M32" s="71">
        <f>O$31*M68*M$58</f>
        <v>1594.2604046286281</v>
      </c>
      <c r="N32" s="72">
        <f>O$31*N68*N$58</f>
        <v>1584.1594878197848</v>
      </c>
      <c r="O32" s="108">
        <f>M32+N32</f>
        <v>3178.4198924484126</v>
      </c>
      <c r="P32" s="71">
        <f>R$31*P68*P$58</f>
        <v>415.77281838196006</v>
      </c>
      <c r="Q32" s="72">
        <f>R$31*Q68*Q$58</f>
        <v>391.87380768158403</v>
      </c>
      <c r="R32" s="108">
        <f>P32+Q32</f>
        <v>807.64662606354409</v>
      </c>
      <c r="S32" s="71">
        <f>U$31*S68*S$58</f>
        <v>189.3313333333333</v>
      </c>
      <c r="T32" s="72">
        <f>U$31*T68*T$58</f>
        <v>189.3313333333333</v>
      </c>
      <c r="U32" s="108">
        <f>S32+T32</f>
        <v>378.66266666666661</v>
      </c>
      <c r="V32" s="71">
        <f>X$31*V68*V$58</f>
        <v>370.08800000000002</v>
      </c>
      <c r="W32" s="72">
        <f>X$31*W68*W$58</f>
        <v>370.08800000000002</v>
      </c>
      <c r="X32" s="108">
        <f>V32+W32</f>
        <v>740.17600000000004</v>
      </c>
      <c r="Y32" s="71">
        <f>AA$31*Y68*Y$58</f>
        <v>98.733788427963617</v>
      </c>
      <c r="Z32" s="72">
        <f>AA$31*Z68*Z$58</f>
        <v>98.822064529671664</v>
      </c>
      <c r="AA32" s="108">
        <f>Y32+Z32</f>
        <v>197.5558529576353</v>
      </c>
      <c r="AB32" s="71">
        <f>AD$31*AB68*AB$58</f>
        <v>1275.5185894006158</v>
      </c>
      <c r="AC32" s="72">
        <f>AD$31*AC68*AC$58</f>
        <v>1273.726215164487</v>
      </c>
      <c r="AD32" s="108">
        <f>AB32+AC32</f>
        <v>2549.2448045651026</v>
      </c>
      <c r="AE32" s="71">
        <f>AG$31*AE68*AE$58</f>
        <v>1309.2486722967092</v>
      </c>
      <c r="AF32" s="72">
        <f>AG$31*AF68*AF$58</f>
        <v>1308.6366734097037</v>
      </c>
      <c r="AG32" s="108">
        <f>AE32+AF32</f>
        <v>2617.8853457064129</v>
      </c>
      <c r="AH32" s="71">
        <f>AJ$31*AH68*AH$58</f>
        <v>356.36417931387359</v>
      </c>
      <c r="AI32" s="72">
        <f>AJ$31*AI68*AI$58</f>
        <v>357.26217471436399</v>
      </c>
      <c r="AJ32" s="108">
        <f>AH32+AI32</f>
        <v>713.62635402823753</v>
      </c>
      <c r="AK32" s="71">
        <f>AM$31*AK68*AK$58</f>
        <v>4113.514082163565</v>
      </c>
      <c r="AL32" s="72">
        <f>AM$31*AL68*AL$58</f>
        <v>4113.8165249982239</v>
      </c>
      <c r="AM32" s="108">
        <f>AK32+AL32</f>
        <v>8227.3306071617881</v>
      </c>
      <c r="AN32" s="71">
        <f>AP$31*AN68*AN$58</f>
        <v>2.2915046666666665</v>
      </c>
      <c r="AO32" s="72">
        <f>AP$31*AO68*AO$58</f>
        <v>2.2915046666666665</v>
      </c>
      <c r="AP32" s="108">
        <f>AN32+AO32</f>
        <v>4.583009333333333</v>
      </c>
    </row>
    <row r="33" spans="1:42" s="55" customFormat="1" ht="15" x14ac:dyDescent="0.2">
      <c r="A33" s="84"/>
      <c r="B33" s="97" t="s">
        <v>121</v>
      </c>
      <c r="C33" s="66" t="s">
        <v>90</v>
      </c>
      <c r="D33" s="71">
        <f>$F$31*D69*D$58</f>
        <v>0</v>
      </c>
      <c r="E33" s="72">
        <f>$F$31*E69*E$58</f>
        <v>0</v>
      </c>
      <c r="F33" s="108">
        <f>D33+E33</f>
        <v>0</v>
      </c>
      <c r="G33" s="71">
        <f>$I$31*G69*G$58</f>
        <v>1432.7297639800918</v>
      </c>
      <c r="H33" s="72">
        <f>$I$31*H69*H$58</f>
        <v>1267.9241472720219</v>
      </c>
      <c r="I33" s="108">
        <f>G33+H33</f>
        <v>2700.6539112521136</v>
      </c>
      <c r="J33" s="71">
        <f>L$31*J69*J$58</f>
        <v>5.9559209729384541</v>
      </c>
      <c r="K33" s="72">
        <f>L$31*K69*K$58</f>
        <v>10.222651828662201</v>
      </c>
      <c r="L33" s="108">
        <f>J33+K33</f>
        <v>16.178572801600655</v>
      </c>
      <c r="M33" s="71">
        <f>O$31*M69*M$58</f>
        <v>24.382595371371856</v>
      </c>
      <c r="N33" s="72">
        <f>O$31*N69*N$58</f>
        <v>34.483512180215499</v>
      </c>
      <c r="O33" s="108">
        <f>M33+N33</f>
        <v>58.866107551587355</v>
      </c>
      <c r="P33" s="71">
        <f>R$31*P69*P$58</f>
        <v>77.305288284706634</v>
      </c>
      <c r="Q33" s="72">
        <f>R$31*Q69*Q$58</f>
        <v>101.20429898508263</v>
      </c>
      <c r="R33" s="108">
        <f>P33+Q33</f>
        <v>178.50958726978928</v>
      </c>
      <c r="S33" s="71">
        <f>U$31*S69*S$58</f>
        <v>0</v>
      </c>
      <c r="T33" s="72">
        <f>U$31*T69*T$58</f>
        <v>0</v>
      </c>
      <c r="U33" s="108">
        <f>S33+T33</f>
        <v>0</v>
      </c>
      <c r="V33" s="71">
        <f>X$31*V69*V$58</f>
        <v>0</v>
      </c>
      <c r="W33" s="72">
        <f>X$31*W69*W$58</f>
        <v>0</v>
      </c>
      <c r="X33" s="108">
        <f>V33+W33</f>
        <v>0</v>
      </c>
      <c r="Y33" s="71">
        <f>AA$31*Y69*Y$58</f>
        <v>2.9539574053697182</v>
      </c>
      <c r="Z33" s="72">
        <f>AA$31*Z69*Z$58</f>
        <v>2.8656813036616757</v>
      </c>
      <c r="AA33" s="108">
        <f>Y33+Z33</f>
        <v>5.8196387090313939</v>
      </c>
      <c r="AB33" s="71">
        <f>AD$31*AB69*AB$58</f>
        <v>12.869655599384277</v>
      </c>
      <c r="AC33" s="72">
        <f>AD$31*AC69*AC$58</f>
        <v>14.662029835513184</v>
      </c>
      <c r="AD33" s="108">
        <f>AB33+AC33</f>
        <v>27.531685434897462</v>
      </c>
      <c r="AE33" s="71">
        <f>AG$31*AE69*AE$58</f>
        <v>1.8263277032909628</v>
      </c>
      <c r="AF33" s="72">
        <f>AG$31*AF69*AF$58</f>
        <v>2.4383265902963807</v>
      </c>
      <c r="AG33" s="108">
        <f>AE33+AF33</f>
        <v>4.264654293587343</v>
      </c>
      <c r="AH33" s="71">
        <f>AJ$31*AH69*AH$58</f>
        <v>2.5878206861263751</v>
      </c>
      <c r="AI33" s="72">
        <f>AJ$31*AI69*AI$58</f>
        <v>1.6898252856359699</v>
      </c>
      <c r="AJ33" s="108">
        <f>AH33+AI33</f>
        <v>4.277645971762345</v>
      </c>
      <c r="AK33" s="71">
        <f>AM$31*AK69*AK$58</f>
        <v>0.88796950310181444</v>
      </c>
      <c r="AL33" s="72">
        <f>AM$31*AL69*AL$58</f>
        <v>0.58552666844266765</v>
      </c>
      <c r="AM33" s="108">
        <f>AK33+AL33</f>
        <v>1.4734961715444821</v>
      </c>
      <c r="AN33" s="71">
        <f>AP$31*AN69*AN$58</f>
        <v>0</v>
      </c>
      <c r="AO33" s="72">
        <f>AP$31*AO69*AO$58</f>
        <v>0</v>
      </c>
      <c r="AP33" s="108">
        <f>AN33+AO33</f>
        <v>0</v>
      </c>
    </row>
    <row r="34" spans="1:42" s="80" customFormat="1" ht="14.25" x14ac:dyDescent="0.2">
      <c r="A34" s="98" t="s">
        <v>122</v>
      </c>
      <c r="B34" s="99" t="s">
        <v>0</v>
      </c>
      <c r="C34" s="77" t="s">
        <v>90</v>
      </c>
      <c r="D34" s="114">
        <f t="shared" ref="D34:E34" si="146">D35+D36</f>
        <v>460.29683333333332</v>
      </c>
      <c r="E34" s="116">
        <f t="shared" si="146"/>
        <v>460.29683333333332</v>
      </c>
      <c r="F34" s="109">
        <f>[2]Канч!$M$29</f>
        <v>920.59366666666665</v>
      </c>
      <c r="G34" s="114">
        <f t="shared" ref="G34:H34" si="147">G35+G36</f>
        <v>8424.9981449999996</v>
      </c>
      <c r="H34" s="116">
        <f t="shared" si="147"/>
        <v>8424.9981449999996</v>
      </c>
      <c r="I34" s="109">
        <f>[2]У_Копи!$M$29</f>
        <v>16849.996289999999</v>
      </c>
      <c r="J34" s="114">
        <f t="shared" ref="J34:K34" si="148">J35+J36</f>
        <v>125.33658333333334</v>
      </c>
      <c r="K34" s="116">
        <f t="shared" si="148"/>
        <v>125.33658333333332</v>
      </c>
      <c r="L34" s="109">
        <f>[2]Алькат!$M$29</f>
        <v>250.67316666666667</v>
      </c>
      <c r="M34" s="114">
        <f t="shared" ref="M34:N34" si="149">M35+M36</f>
        <v>1031.3841500000003</v>
      </c>
      <c r="N34" s="116">
        <f t="shared" si="149"/>
        <v>1031.3841500000003</v>
      </c>
      <c r="O34" s="109">
        <f>[2]Беринг!$M$29</f>
        <v>2062.7683000000006</v>
      </c>
      <c r="P34" s="114">
        <f t="shared" ref="P34:Q34" si="150">P35+P36</f>
        <v>326.12550000000005</v>
      </c>
      <c r="Q34" s="116">
        <f t="shared" si="150"/>
        <v>326.12550000000005</v>
      </c>
      <c r="R34" s="109">
        <f>[2]Мейнып!$M$29</f>
        <v>652.25100000000009</v>
      </c>
      <c r="S34" s="114">
        <f t="shared" ref="S34:T34" si="151">S35+S36</f>
        <v>204.97333333333333</v>
      </c>
      <c r="T34" s="116">
        <f t="shared" si="151"/>
        <v>204.97333333333336</v>
      </c>
      <c r="U34" s="109">
        <f>[2]Хатыр!$M$29</f>
        <v>409.94666666666672</v>
      </c>
      <c r="V34" s="114">
        <f t="shared" ref="V34:W34" si="152">V35+V36</f>
        <v>436.73</v>
      </c>
      <c r="W34" s="116">
        <f t="shared" si="152"/>
        <v>436.73</v>
      </c>
      <c r="X34" s="109">
        <f>[2]Ваеги!$M$29</f>
        <v>873.46</v>
      </c>
      <c r="Y34" s="114">
        <f t="shared" ref="Y34:Z34" si="153">Y35+Y36</f>
        <v>76.514499999999998</v>
      </c>
      <c r="Z34" s="116">
        <f t="shared" si="153"/>
        <v>76.514499999999998</v>
      </c>
      <c r="AA34" s="109">
        <f>[2]Снежн!$M$29</f>
        <v>153.029</v>
      </c>
      <c r="AB34" s="114">
        <f t="shared" ref="AB34:AC34" si="154">AB35+AB36</f>
        <v>777.02333333333354</v>
      </c>
      <c r="AC34" s="116">
        <f t="shared" si="154"/>
        <v>777.02333333333354</v>
      </c>
      <c r="AD34" s="109">
        <f>[2]Марк!$M$29</f>
        <v>1554.0466666666671</v>
      </c>
      <c r="AE34" s="114">
        <f t="shared" ref="AE34:AF34" si="155">AE35+AE36</f>
        <v>120.03047666666669</v>
      </c>
      <c r="AF34" s="116">
        <f t="shared" si="155"/>
        <v>120.0304766666667</v>
      </c>
      <c r="AG34" s="109">
        <f>[2]У_Бел!$M$29</f>
        <v>240.06095333333337</v>
      </c>
      <c r="AH34" s="114">
        <f t="shared" ref="AH34:AI34" si="156">AH35+AH36</f>
        <v>77.867000000000004</v>
      </c>
      <c r="AI34" s="116">
        <f t="shared" si="156"/>
        <v>77.867000000000004</v>
      </c>
      <c r="AJ34" s="109">
        <f>[2]Н_Чапл!$M$29</f>
        <v>155.73400000000001</v>
      </c>
      <c r="AK34" s="114">
        <f t="shared" ref="AK34:AL34" si="157">AK35+AK36</f>
        <v>1662.9745605881592</v>
      </c>
      <c r="AL34" s="116">
        <f t="shared" si="157"/>
        <v>1662.9745605881592</v>
      </c>
      <c r="AM34" s="109">
        <f>[2]Провид!$M$29</f>
        <v>3325.9491211763179</v>
      </c>
      <c r="AN34" s="114">
        <f t="shared" ref="AN34:AO34" si="158">AN35+AN36</f>
        <v>27.147833333333338</v>
      </c>
      <c r="AO34" s="116">
        <f t="shared" si="158"/>
        <v>27.147833333333335</v>
      </c>
      <c r="AP34" s="109">
        <f>[2]Сирен!$M$29</f>
        <v>54.295666666666669</v>
      </c>
    </row>
    <row r="35" spans="1:42" s="55" customFormat="1" ht="15" x14ac:dyDescent="0.2">
      <c r="A35" s="84"/>
      <c r="B35" s="65" t="s">
        <v>115</v>
      </c>
      <c r="C35" s="66" t="s">
        <v>90</v>
      </c>
      <c r="D35" s="71">
        <f>$F$34*D71*D$58</f>
        <v>460.29683333333332</v>
      </c>
      <c r="E35" s="72">
        <f>$F$34*E71*E$58</f>
        <v>460.29683333333332</v>
      </c>
      <c r="F35" s="108">
        <f>D35+E35</f>
        <v>920.59366666666665</v>
      </c>
      <c r="G35" s="71">
        <f>$I$34*G71*G$58</f>
        <v>8357.7190830897071</v>
      </c>
      <c r="H35" s="72">
        <f>$I$34*H71*H$58</f>
        <v>8357.8111009859585</v>
      </c>
      <c r="I35" s="108">
        <f>G35+H35</f>
        <v>16715.530184075666</v>
      </c>
      <c r="J35" s="71">
        <f>L$34*J71*J$58</f>
        <v>41.218474904278594</v>
      </c>
      <c r="K35" s="72">
        <f>L$34*K71*K$58</f>
        <v>39.089581230267527</v>
      </c>
      <c r="L35" s="108">
        <f>J35+K35</f>
        <v>80.308056134546121</v>
      </c>
      <c r="M35" s="71">
        <f>O$34*M71*M$58</f>
        <v>682.68409743354766</v>
      </c>
      <c r="N35" s="72">
        <f>O$34*N71*N$58</f>
        <v>530.86080128709648</v>
      </c>
      <c r="O35" s="108">
        <f>M35+N35</f>
        <v>1213.5448987206441</v>
      </c>
      <c r="P35" s="71">
        <f>R$34*P71*P$58</f>
        <v>126.47132679738566</v>
      </c>
      <c r="Q35" s="72">
        <f>R$34*Q71*Q$58</f>
        <v>104.30055458425677</v>
      </c>
      <c r="R35" s="108">
        <f>P35+Q35</f>
        <v>230.77188138164243</v>
      </c>
      <c r="S35" s="71">
        <f>U$34*S71*S$58</f>
        <v>18.719563469270536</v>
      </c>
      <c r="T35" s="72">
        <f>U$34*T71*T$58</f>
        <v>32.471023102310227</v>
      </c>
      <c r="U35" s="108">
        <f>S35+T35</f>
        <v>51.190586571580766</v>
      </c>
      <c r="V35" s="71">
        <f>X$34*V71*V$58</f>
        <v>429.33500247336832</v>
      </c>
      <c r="W35" s="72">
        <f>X$34*W71*W$58</f>
        <v>428.78673032651989</v>
      </c>
      <c r="X35" s="108">
        <f>V35+W35</f>
        <v>858.12173279988815</v>
      </c>
      <c r="Y35" s="71">
        <f>AA$34*Y71*Y$58</f>
        <v>74.439061482820975</v>
      </c>
      <c r="Z35" s="72">
        <f>AA$34*Z71*Z$58</f>
        <v>74.970187643805758</v>
      </c>
      <c r="AA35" s="108">
        <f>Y35+Z35</f>
        <v>149.40924912662672</v>
      </c>
      <c r="AB35" s="71">
        <f>AD$34*AB71*AB$58</f>
        <v>741.99993642966206</v>
      </c>
      <c r="AC35" s="72">
        <f>AD$34*AC71*AC$58</f>
        <v>749.30020287098921</v>
      </c>
      <c r="AD35" s="108">
        <f>AB35+AC35</f>
        <v>1491.3001393006512</v>
      </c>
      <c r="AE35" s="71">
        <f>AG$34*AE71*AE$58</f>
        <v>79.890730218623503</v>
      </c>
      <c r="AF35" s="72">
        <f>AG$34*AF71*AF$58</f>
        <v>108.40592639620117</v>
      </c>
      <c r="AG35" s="108">
        <f>AE35+AF35</f>
        <v>188.29665661482466</v>
      </c>
      <c r="AH35" s="71">
        <f>AJ$34*AH71*AH$58</f>
        <v>77.867000000000004</v>
      </c>
      <c r="AI35" s="72">
        <f>AJ$34*AI71*AI$58</f>
        <v>77.867000000000004</v>
      </c>
      <c r="AJ35" s="108">
        <f>AH35+AI35</f>
        <v>155.73400000000001</v>
      </c>
      <c r="AK35" s="71">
        <f>AM$34*AK71*AK$58</f>
        <v>1637.7667435769151</v>
      </c>
      <c r="AL35" s="72">
        <f>AM$34*AL71*AL$58</f>
        <v>1617.3705395305312</v>
      </c>
      <c r="AM35" s="108">
        <f>AK35+AL35</f>
        <v>3255.1372831074464</v>
      </c>
      <c r="AN35" s="71">
        <f>AP$34*AN71*AN$58</f>
        <v>21.718544628458805</v>
      </c>
      <c r="AO35" s="72">
        <f>AP$34*AO71*AO$58</f>
        <v>27.147833333333335</v>
      </c>
      <c r="AP35" s="108">
        <f>AN35+AO35</f>
        <v>48.866377961792139</v>
      </c>
    </row>
    <row r="36" spans="1:42" s="55" customFormat="1" ht="15" x14ac:dyDescent="0.2">
      <c r="A36" s="101"/>
      <c r="B36" s="102" t="s">
        <v>123</v>
      </c>
      <c r="C36" s="103" t="s">
        <v>90</v>
      </c>
      <c r="D36" s="361">
        <f>$F$34*D72*D$58</f>
        <v>0</v>
      </c>
      <c r="E36" s="362">
        <f>$F$34*E72*E$58</f>
        <v>0</v>
      </c>
      <c r="F36" s="363">
        <f>D36+E36</f>
        <v>0</v>
      </c>
      <c r="G36" s="361">
        <f>$I$34*G72*G$58</f>
        <v>67.279061910293123</v>
      </c>
      <c r="H36" s="362">
        <f>$I$34*H72*H$58</f>
        <v>67.187044014041575</v>
      </c>
      <c r="I36" s="363">
        <f>G36+H36</f>
        <v>134.4661059243347</v>
      </c>
      <c r="J36" s="361">
        <f>L$34*J72*J$58</f>
        <v>84.118108429054743</v>
      </c>
      <c r="K36" s="362">
        <f>L$34*K72*K$58</f>
        <v>86.247002103065796</v>
      </c>
      <c r="L36" s="363">
        <f>J36+K36</f>
        <v>170.36511053212053</v>
      </c>
      <c r="M36" s="361">
        <f>O$34*M72*M$58</f>
        <v>348.70005256645271</v>
      </c>
      <c r="N36" s="362">
        <f>O$34*N72*N$58</f>
        <v>500.52334871290378</v>
      </c>
      <c r="O36" s="363">
        <f>M36+N36</f>
        <v>849.22340127935649</v>
      </c>
      <c r="P36" s="361">
        <f>R$34*P72*P$58</f>
        <v>199.6541732026144</v>
      </c>
      <c r="Q36" s="362">
        <f>R$34*Q72*Q$58</f>
        <v>221.82494541574326</v>
      </c>
      <c r="R36" s="363">
        <f>P36+Q36</f>
        <v>421.47911861835769</v>
      </c>
      <c r="S36" s="361">
        <f>U$34*S72*S$58</f>
        <v>186.2537698640628</v>
      </c>
      <c r="T36" s="362">
        <f>U$34*T72*T$58</f>
        <v>172.50231023102313</v>
      </c>
      <c r="U36" s="363">
        <f>S36+T36</f>
        <v>358.75608009508596</v>
      </c>
      <c r="V36" s="361">
        <f>X$34*V72*V$58</f>
        <v>7.3949975266316965</v>
      </c>
      <c r="W36" s="362">
        <f>X$34*W72*W$58</f>
        <v>7.9432696734801445</v>
      </c>
      <c r="X36" s="363">
        <f>V36+W36</f>
        <v>15.33826720011184</v>
      </c>
      <c r="Y36" s="361">
        <f>AA$34*Y72*Y$58</f>
        <v>2.0754385171790237</v>
      </c>
      <c r="Z36" s="362">
        <f>AA$34*Z72*Z$58</f>
        <v>1.5443123561942438</v>
      </c>
      <c r="AA36" s="363">
        <f>Y36+Z36</f>
        <v>3.6197508733732677</v>
      </c>
      <c r="AB36" s="361">
        <f>AD$34*AB72*AB$58</f>
        <v>35.023396903671461</v>
      </c>
      <c r="AC36" s="362">
        <f>AD$34*AC72*AC$58</f>
        <v>27.723130462344329</v>
      </c>
      <c r="AD36" s="363">
        <f>AB36+AC36</f>
        <v>62.746527366015791</v>
      </c>
      <c r="AE36" s="361">
        <f>AG$34*AE72*AE$58</f>
        <v>40.139746448043191</v>
      </c>
      <c r="AF36" s="362">
        <f>AG$34*AF72*AF$58</f>
        <v>11.624550270465532</v>
      </c>
      <c r="AG36" s="363">
        <f>AE36+AF36</f>
        <v>51.764296718508724</v>
      </c>
      <c r="AH36" s="361">
        <f>AJ$34*AH72*AH$58</f>
        <v>0</v>
      </c>
      <c r="AI36" s="362">
        <f>AJ$34*AI72*AI$58</f>
        <v>0</v>
      </c>
      <c r="AJ36" s="363">
        <f>AH36+AI36</f>
        <v>0</v>
      </c>
      <c r="AK36" s="361">
        <f>AM$34*AK72*AK$58</f>
        <v>25.207817011243968</v>
      </c>
      <c r="AL36" s="362">
        <f>AM$34*AL72*AL$58</f>
        <v>45.604021057627918</v>
      </c>
      <c r="AM36" s="363">
        <f>AK36+AL36</f>
        <v>70.811838068871879</v>
      </c>
      <c r="AN36" s="361">
        <f>AP$34*AN72*AN$58</f>
        <v>5.4292887048745317</v>
      </c>
      <c r="AO36" s="362">
        <f>AP$34*AO72*AO$58</f>
        <v>0</v>
      </c>
      <c r="AP36" s="363">
        <f>AN36+AO36</f>
        <v>5.4292887048745317</v>
      </c>
    </row>
    <row r="37" spans="1:42" hidden="1" x14ac:dyDescent="0.2"/>
    <row r="38" spans="1:42" hidden="1" x14ac:dyDescent="0.2">
      <c r="F38" s="120">
        <f>F34+F31+F24+F18+F15+F12-F8</f>
        <v>6.2082246349746129E-2</v>
      </c>
      <c r="I38" s="120">
        <f>I34+I31+I24+I18+I15+I12-I8</f>
        <v>190777.73898102046</v>
      </c>
      <c r="L38" s="105">
        <f>L34+L31+L24+L18+L15+L12-L8</f>
        <v>0</v>
      </c>
      <c r="O38" s="105">
        <f>O34+O31+O24+O18+O15+O12-O8</f>
        <v>9.3331923853838816E-3</v>
      </c>
      <c r="R38" s="105">
        <f>R34+R31+R24+R18+R15+R12-R8</f>
        <v>-4.8872999999730382E-2</v>
      </c>
      <c r="U38" s="105">
        <f>U34+U31+U24+U18+U15+U12-U8</f>
        <v>0</v>
      </c>
      <c r="X38" s="105">
        <f>X34+X31+X24+X18+X15+X12-X8</f>
        <v>0</v>
      </c>
      <c r="AA38" s="105">
        <f>AA34+AA31+AA24+AA18+AA15+AA12-AA8</f>
        <v>0</v>
      </c>
      <c r="AD38" s="105">
        <f>AD34+AD31+AD24+AD18+AD15+AD12-AD8</f>
        <v>0</v>
      </c>
      <c r="AG38" s="105">
        <f>AG34+AG31+AG24+AG18+AG15+AG12-AG8</f>
        <v>-3.4800000139512122E-4</v>
      </c>
      <c r="AJ38" s="105">
        <f>AJ34+AJ31+AJ24+AJ18+AJ15+AJ12-AJ8</f>
        <v>0</v>
      </c>
      <c r="AM38" s="105">
        <f>AM34+AM31+AM24+AM18+AM15+AM12-AM8</f>
        <v>5.538870207965374E-2</v>
      </c>
      <c r="AP38" s="105">
        <f>AP34+AP31+AP24+AP18+AP15+AP12-AP8</f>
        <v>-1.3800000015180558E-3</v>
      </c>
    </row>
    <row r="39" spans="1:42" hidden="1" x14ac:dyDescent="0.2"/>
    <row r="40" spans="1:42" x14ac:dyDescent="0.2">
      <c r="J40" s="120"/>
      <c r="K40" s="120"/>
      <c r="M40" s="120"/>
      <c r="N40" s="120"/>
      <c r="P40" s="136"/>
      <c r="Q40" s="136"/>
      <c r="R40" s="136"/>
    </row>
    <row r="41" spans="1:42" x14ac:dyDescent="0.2">
      <c r="J41" s="120"/>
      <c r="K41" s="120"/>
      <c r="M41" s="120"/>
      <c r="N41" s="120"/>
      <c r="P41" s="136"/>
      <c r="Q41" s="136"/>
      <c r="R41" s="136"/>
    </row>
    <row r="42" spans="1:42" ht="28.5" x14ac:dyDescent="0.2">
      <c r="B42" s="56" t="s">
        <v>89</v>
      </c>
      <c r="J42" s="120"/>
      <c r="K42" s="120"/>
      <c r="M42" s="120"/>
      <c r="N42" s="120"/>
      <c r="P42" s="136"/>
      <c r="Q42" s="136"/>
      <c r="R42" s="136"/>
    </row>
    <row r="43" spans="1:42" ht="15" x14ac:dyDescent="0.2">
      <c r="B43" s="62" t="s">
        <v>91</v>
      </c>
    </row>
    <row r="44" spans="1:42" ht="15" x14ac:dyDescent="0.2">
      <c r="B44" s="65" t="s">
        <v>92</v>
      </c>
    </row>
    <row r="45" spans="1:42" ht="28.5" x14ac:dyDescent="0.2">
      <c r="B45" s="68" t="s">
        <v>93</v>
      </c>
    </row>
    <row r="46" spans="1:42" ht="15" x14ac:dyDescent="0.2">
      <c r="B46" s="70" t="s">
        <v>94</v>
      </c>
    </row>
    <row r="47" spans="1:42" ht="15" x14ac:dyDescent="0.2">
      <c r="B47" s="70" t="s">
        <v>95</v>
      </c>
    </row>
    <row r="48" spans="1:42" ht="15" x14ac:dyDescent="0.2">
      <c r="B48" s="70" t="s">
        <v>96</v>
      </c>
    </row>
    <row r="49" spans="2:42" ht="15" x14ac:dyDescent="0.2">
      <c r="B49" s="73" t="s">
        <v>98</v>
      </c>
    </row>
    <row r="50" spans="2:42" ht="15" x14ac:dyDescent="0.2">
      <c r="B50" s="73" t="s">
        <v>100</v>
      </c>
    </row>
    <row r="51" spans="2:42" ht="28.5" x14ac:dyDescent="0.2">
      <c r="B51" s="76" t="s">
        <v>101</v>
      </c>
    </row>
    <row r="52" spans="2:42" ht="15" x14ac:dyDescent="0.2">
      <c r="B52" s="70" t="s">
        <v>103</v>
      </c>
      <c r="D52" s="105">
        <f t="shared" ref="D52:AP52" si="159">D18/D$18</f>
        <v>1</v>
      </c>
      <c r="E52" s="105">
        <f t="shared" si="159"/>
        <v>1</v>
      </c>
      <c r="F52" s="105">
        <f t="shared" si="159"/>
        <v>1</v>
      </c>
      <c r="G52" s="105">
        <f t="shared" si="159"/>
        <v>1</v>
      </c>
      <c r="H52" s="105">
        <f t="shared" si="159"/>
        <v>1</v>
      </c>
      <c r="I52" s="105">
        <f t="shared" si="159"/>
        <v>1</v>
      </c>
      <c r="J52" s="105">
        <f t="shared" si="159"/>
        <v>1</v>
      </c>
      <c r="K52" s="105">
        <f t="shared" si="159"/>
        <v>1</v>
      </c>
      <c r="L52" s="105">
        <f t="shared" si="159"/>
        <v>1</v>
      </c>
      <c r="M52" s="105">
        <f t="shared" si="159"/>
        <v>1</v>
      </c>
      <c r="N52" s="105">
        <f t="shared" si="159"/>
        <v>1</v>
      </c>
      <c r="O52" s="105">
        <f t="shared" si="159"/>
        <v>1</v>
      </c>
      <c r="P52" s="105">
        <f t="shared" si="159"/>
        <v>1</v>
      </c>
      <c r="Q52" s="105">
        <f t="shared" si="159"/>
        <v>1</v>
      </c>
      <c r="R52" s="105">
        <f t="shared" si="159"/>
        <v>1</v>
      </c>
      <c r="S52" s="105">
        <f t="shared" si="159"/>
        <v>1</v>
      </c>
      <c r="T52" s="105">
        <f t="shared" si="159"/>
        <v>1</v>
      </c>
      <c r="U52" s="105">
        <f t="shared" si="159"/>
        <v>1</v>
      </c>
      <c r="V52" s="105">
        <f t="shared" si="159"/>
        <v>1</v>
      </c>
      <c r="W52" s="105">
        <f t="shared" si="159"/>
        <v>1</v>
      </c>
      <c r="X52" s="105">
        <f t="shared" si="159"/>
        <v>1</v>
      </c>
      <c r="Y52" s="105">
        <f t="shared" si="159"/>
        <v>1</v>
      </c>
      <c r="Z52" s="105">
        <f t="shared" si="159"/>
        <v>1</v>
      </c>
      <c r="AA52" s="105">
        <f t="shared" si="159"/>
        <v>1</v>
      </c>
      <c r="AB52" s="105">
        <f t="shared" si="159"/>
        <v>1</v>
      </c>
      <c r="AC52" s="105">
        <f t="shared" si="159"/>
        <v>1</v>
      </c>
      <c r="AD52" s="105">
        <f t="shared" si="159"/>
        <v>1</v>
      </c>
      <c r="AE52" s="105">
        <f t="shared" si="159"/>
        <v>1</v>
      </c>
      <c r="AF52" s="105">
        <f t="shared" si="159"/>
        <v>1</v>
      </c>
      <c r="AG52" s="105">
        <f t="shared" si="159"/>
        <v>1</v>
      </c>
      <c r="AH52" s="105">
        <f t="shared" si="159"/>
        <v>1</v>
      </c>
      <c r="AI52" s="105">
        <f t="shared" si="159"/>
        <v>1</v>
      </c>
      <c r="AJ52" s="105">
        <f t="shared" si="159"/>
        <v>1</v>
      </c>
      <c r="AK52" s="105">
        <f t="shared" si="159"/>
        <v>1</v>
      </c>
      <c r="AL52" s="105">
        <f t="shared" si="159"/>
        <v>1</v>
      </c>
      <c r="AM52" s="105">
        <f t="shared" si="159"/>
        <v>1</v>
      </c>
      <c r="AN52" s="105">
        <f t="shared" si="159"/>
        <v>1</v>
      </c>
      <c r="AO52" s="105">
        <f t="shared" si="159"/>
        <v>1</v>
      </c>
      <c r="AP52" s="105">
        <f t="shared" si="159"/>
        <v>1</v>
      </c>
    </row>
    <row r="53" spans="2:42" ht="15" x14ac:dyDescent="0.2">
      <c r="B53" s="83" t="s">
        <v>105</v>
      </c>
      <c r="D53" s="105">
        <f t="shared" ref="D53:F54" si="160">D19/D$18</f>
        <v>2.0058797593929145E-2</v>
      </c>
      <c r="E53" s="105">
        <f t="shared" si="160"/>
        <v>2.0058797593929145E-2</v>
      </c>
      <c r="F53" s="105">
        <f t="shared" si="160"/>
        <v>2.0058797593929145E-2</v>
      </c>
      <c r="G53" s="105">
        <f t="shared" ref="G53:AP53" si="161">G19/G$18</f>
        <v>0.58300122635861318</v>
      </c>
      <c r="H53" s="105">
        <f t="shared" si="161"/>
        <v>0.58300122635861318</v>
      </c>
      <c r="I53" s="105">
        <f t="shared" si="161"/>
        <v>0.58300122635861318</v>
      </c>
      <c r="J53" s="105">
        <f t="shared" si="161"/>
        <v>0.40723459958659264</v>
      </c>
      <c r="K53" s="105">
        <f t="shared" si="161"/>
        <v>0.40723459958659264</v>
      </c>
      <c r="L53" s="105">
        <f t="shared" si="161"/>
        <v>0.40723459958659264</v>
      </c>
      <c r="M53" s="105">
        <f t="shared" si="161"/>
        <v>0.72438488688158487</v>
      </c>
      <c r="N53" s="105">
        <f t="shared" si="161"/>
        <v>0.72438488688158487</v>
      </c>
      <c r="O53" s="105">
        <f t="shared" si="161"/>
        <v>0.72438488688158487</v>
      </c>
      <c r="P53" s="105">
        <f t="shared" si="161"/>
        <v>0.26885699329096746</v>
      </c>
      <c r="Q53" s="105">
        <f t="shared" si="161"/>
        <v>0.26885699329096746</v>
      </c>
      <c r="R53" s="105">
        <f t="shared" si="161"/>
        <v>0.26885699329096746</v>
      </c>
      <c r="S53" s="105">
        <f t="shared" si="161"/>
        <v>0.76118961682712338</v>
      </c>
      <c r="T53" s="105">
        <f t="shared" si="161"/>
        <v>0.76118961682712338</v>
      </c>
      <c r="U53" s="105">
        <f t="shared" si="161"/>
        <v>0.76118961682712338</v>
      </c>
      <c r="V53" s="105">
        <f t="shared" si="161"/>
        <v>0</v>
      </c>
      <c r="W53" s="105">
        <f t="shared" si="161"/>
        <v>0</v>
      </c>
      <c r="X53" s="105">
        <f t="shared" si="161"/>
        <v>0</v>
      </c>
      <c r="Y53" s="105">
        <f t="shared" si="161"/>
        <v>0</v>
      </c>
      <c r="Z53" s="105">
        <f t="shared" si="161"/>
        <v>0</v>
      </c>
      <c r="AA53" s="105">
        <f t="shared" si="161"/>
        <v>0</v>
      </c>
      <c r="AB53" s="105">
        <f t="shared" si="161"/>
        <v>0</v>
      </c>
      <c r="AC53" s="105">
        <f t="shared" si="161"/>
        <v>0</v>
      </c>
      <c r="AD53" s="105">
        <f t="shared" si="161"/>
        <v>0</v>
      </c>
      <c r="AE53" s="105">
        <f t="shared" si="161"/>
        <v>0.86638714098419112</v>
      </c>
      <c r="AF53" s="105">
        <f t="shared" si="161"/>
        <v>0.86638714098419112</v>
      </c>
      <c r="AG53" s="105">
        <f t="shared" si="161"/>
        <v>0.86638714098419112</v>
      </c>
      <c r="AH53" s="105">
        <f t="shared" si="161"/>
        <v>0</v>
      </c>
      <c r="AI53" s="105">
        <f t="shared" si="161"/>
        <v>0</v>
      </c>
      <c r="AJ53" s="105">
        <f t="shared" si="161"/>
        <v>0</v>
      </c>
      <c r="AK53" s="105">
        <f t="shared" si="161"/>
        <v>5.9285982621293996E-2</v>
      </c>
      <c r="AL53" s="105">
        <f t="shared" si="161"/>
        <v>5.9285982621293996E-2</v>
      </c>
      <c r="AM53" s="105">
        <f t="shared" si="161"/>
        <v>5.9285982621293996E-2</v>
      </c>
      <c r="AN53" s="105">
        <f t="shared" si="161"/>
        <v>0.55097090826872341</v>
      </c>
      <c r="AO53" s="105">
        <f t="shared" si="161"/>
        <v>0.55097090826872341</v>
      </c>
      <c r="AP53" s="105">
        <f t="shared" si="161"/>
        <v>0.55097090826872341</v>
      </c>
    </row>
    <row r="54" spans="2:42" ht="15" x14ac:dyDescent="0.2">
      <c r="B54" s="73" t="s">
        <v>107</v>
      </c>
      <c r="D54" s="105">
        <f t="shared" si="160"/>
        <v>0.76306557157261423</v>
      </c>
      <c r="E54" s="105">
        <f t="shared" si="160"/>
        <v>0.76306557157261423</v>
      </c>
      <c r="F54" s="105">
        <f t="shared" si="160"/>
        <v>0.76306557157261423</v>
      </c>
      <c r="G54" s="105">
        <f t="shared" ref="G54:AP54" si="162">G20/G$18</f>
        <v>0.38923602338554986</v>
      </c>
      <c r="H54" s="105">
        <f t="shared" si="162"/>
        <v>0.38923602338554986</v>
      </c>
      <c r="I54" s="105">
        <f t="shared" si="162"/>
        <v>0.38923602338554986</v>
      </c>
      <c r="J54" s="105">
        <f t="shared" si="162"/>
        <v>0.59164314268860219</v>
      </c>
      <c r="K54" s="105">
        <f t="shared" si="162"/>
        <v>0.59164314268860219</v>
      </c>
      <c r="L54" s="105">
        <f t="shared" si="162"/>
        <v>0.59164314268860219</v>
      </c>
      <c r="M54" s="105">
        <f t="shared" si="162"/>
        <v>0.22449034128570552</v>
      </c>
      <c r="N54" s="105">
        <f t="shared" si="162"/>
        <v>0.22449034128570552</v>
      </c>
      <c r="O54" s="105">
        <f t="shared" si="162"/>
        <v>0.22449034128570552</v>
      </c>
      <c r="P54" s="105">
        <f t="shared" si="162"/>
        <v>0.42324536079636715</v>
      </c>
      <c r="Q54" s="105">
        <f t="shared" si="162"/>
        <v>0.42324536079636715</v>
      </c>
      <c r="R54" s="105">
        <f t="shared" si="162"/>
        <v>0.42324536079636715</v>
      </c>
      <c r="S54" s="105">
        <f t="shared" si="162"/>
        <v>0.19712410100917702</v>
      </c>
      <c r="T54" s="105">
        <f t="shared" si="162"/>
        <v>0.19712410100917702</v>
      </c>
      <c r="U54" s="105">
        <f t="shared" si="162"/>
        <v>0.19712410100917702</v>
      </c>
      <c r="V54" s="105">
        <f t="shared" si="162"/>
        <v>0.59816690786300042</v>
      </c>
      <c r="W54" s="105">
        <f t="shared" si="162"/>
        <v>0.59816690786300042</v>
      </c>
      <c r="X54" s="105">
        <f t="shared" si="162"/>
        <v>0.59816690786300042</v>
      </c>
      <c r="Y54" s="105">
        <f t="shared" si="162"/>
        <v>0.70422535211267601</v>
      </c>
      <c r="Z54" s="105">
        <f t="shared" si="162"/>
        <v>0.70422535211267601</v>
      </c>
      <c r="AA54" s="105">
        <f t="shared" si="162"/>
        <v>0.70422535211267601</v>
      </c>
      <c r="AB54" s="105">
        <f t="shared" si="162"/>
        <v>0.61406590318274434</v>
      </c>
      <c r="AC54" s="105">
        <f t="shared" si="162"/>
        <v>0.61406590318274434</v>
      </c>
      <c r="AD54" s="105">
        <f t="shared" si="162"/>
        <v>0.61406590318274434</v>
      </c>
      <c r="AE54" s="105">
        <f t="shared" si="162"/>
        <v>0.12788850812804184</v>
      </c>
      <c r="AF54" s="105">
        <f t="shared" si="162"/>
        <v>0.12788850812804184</v>
      </c>
      <c r="AG54" s="105">
        <f t="shared" si="162"/>
        <v>0.12788850812804184</v>
      </c>
      <c r="AH54" s="105">
        <f t="shared" si="162"/>
        <v>0.98783705515155407</v>
      </c>
      <c r="AI54" s="105">
        <f t="shared" si="162"/>
        <v>0.98783705515155407</v>
      </c>
      <c r="AJ54" s="105">
        <f t="shared" si="162"/>
        <v>0.98783705515155407</v>
      </c>
      <c r="AK54" s="105">
        <f t="shared" si="162"/>
        <v>0.92801455450546344</v>
      </c>
      <c r="AL54" s="105">
        <f t="shared" si="162"/>
        <v>0.92801455450546344</v>
      </c>
      <c r="AM54" s="105">
        <f t="shared" si="162"/>
        <v>0.92801455450546344</v>
      </c>
      <c r="AN54" s="105">
        <f t="shared" si="162"/>
        <v>0.24824276215253313</v>
      </c>
      <c r="AO54" s="105">
        <f t="shared" si="162"/>
        <v>0.24824276215253313</v>
      </c>
      <c r="AP54" s="105">
        <f t="shared" si="162"/>
        <v>0.24824276215253313</v>
      </c>
    </row>
    <row r="55" spans="2:42" ht="15" x14ac:dyDescent="0.2">
      <c r="B55" s="73" t="s">
        <v>109</v>
      </c>
      <c r="D55" s="105">
        <f t="shared" ref="D55:E55" si="163">D21/D$18</f>
        <v>0.21687563083345657</v>
      </c>
      <c r="E55" s="105">
        <f t="shared" si="163"/>
        <v>0.21687563083345657</v>
      </c>
      <c r="F55" s="105">
        <f>F21/F$18</f>
        <v>0.21687563083345657</v>
      </c>
      <c r="G55" s="105">
        <f t="shared" ref="G55:AP55" si="164">G21/G$18</f>
        <v>2.7762750255836983E-2</v>
      </c>
      <c r="H55" s="105">
        <f t="shared" si="164"/>
        <v>2.7762750255836983E-2</v>
      </c>
      <c r="I55" s="105">
        <f t="shared" si="164"/>
        <v>2.7762750255836983E-2</v>
      </c>
      <c r="J55" s="105">
        <f t="shared" si="164"/>
        <v>1.1222577248051555E-3</v>
      </c>
      <c r="K55" s="105">
        <f t="shared" si="164"/>
        <v>1.1222577248051555E-3</v>
      </c>
      <c r="L55" s="105">
        <f t="shared" si="164"/>
        <v>1.1222577248051555E-3</v>
      </c>
      <c r="M55" s="105">
        <f t="shared" si="164"/>
        <v>5.112477183270954E-2</v>
      </c>
      <c r="N55" s="105">
        <f t="shared" si="164"/>
        <v>5.112477183270954E-2</v>
      </c>
      <c r="O55" s="105">
        <f t="shared" si="164"/>
        <v>5.112477183270954E-2</v>
      </c>
      <c r="P55" s="105">
        <f t="shared" si="164"/>
        <v>0.30789764591266533</v>
      </c>
      <c r="Q55" s="105">
        <f t="shared" si="164"/>
        <v>0.30789764591266533</v>
      </c>
      <c r="R55" s="105">
        <f t="shared" si="164"/>
        <v>0.30789764591266533</v>
      </c>
      <c r="S55" s="105">
        <f t="shared" si="164"/>
        <v>4.1686282163699767E-2</v>
      </c>
      <c r="T55" s="105">
        <f t="shared" si="164"/>
        <v>4.1686282163699767E-2</v>
      </c>
      <c r="U55" s="105">
        <f t="shared" si="164"/>
        <v>4.1686282163699767E-2</v>
      </c>
      <c r="V55" s="105">
        <f t="shared" si="164"/>
        <v>0.40183309213699947</v>
      </c>
      <c r="W55" s="105">
        <f t="shared" si="164"/>
        <v>0.40183309213699947</v>
      </c>
      <c r="X55" s="105">
        <f t="shared" si="164"/>
        <v>0.40183309213699947</v>
      </c>
      <c r="Y55" s="105">
        <f t="shared" si="164"/>
        <v>0.29577464788732394</v>
      </c>
      <c r="Z55" s="105">
        <f t="shared" si="164"/>
        <v>0.29577464788732394</v>
      </c>
      <c r="AA55" s="105">
        <f t="shared" si="164"/>
        <v>0.29577464788732394</v>
      </c>
      <c r="AB55" s="105">
        <f t="shared" si="164"/>
        <v>0.38593409681725566</v>
      </c>
      <c r="AC55" s="105">
        <f t="shared" si="164"/>
        <v>0.38593409681725566</v>
      </c>
      <c r="AD55" s="105">
        <f t="shared" si="164"/>
        <v>0.38593409681725566</v>
      </c>
      <c r="AE55" s="105">
        <f t="shared" si="164"/>
        <v>5.7243508877671467E-3</v>
      </c>
      <c r="AF55" s="105">
        <f t="shared" si="164"/>
        <v>5.7243508877671467E-3</v>
      </c>
      <c r="AG55" s="105">
        <f t="shared" si="164"/>
        <v>5.7243508877671467E-3</v>
      </c>
      <c r="AH55" s="105">
        <f t="shared" si="164"/>
        <v>1.2162944848445845E-2</v>
      </c>
      <c r="AI55" s="105">
        <f t="shared" si="164"/>
        <v>1.2162944848445845E-2</v>
      </c>
      <c r="AJ55" s="105">
        <f t="shared" si="164"/>
        <v>1.2162944848445845E-2</v>
      </c>
      <c r="AK55" s="105">
        <f t="shared" si="164"/>
        <v>1.2699462873242532E-2</v>
      </c>
      <c r="AL55" s="105">
        <f t="shared" si="164"/>
        <v>1.2699462873242532E-2</v>
      </c>
      <c r="AM55" s="105">
        <f t="shared" si="164"/>
        <v>1.2699462873242532E-2</v>
      </c>
      <c r="AN55" s="105">
        <f t="shared" si="164"/>
        <v>0.20078632957874343</v>
      </c>
      <c r="AO55" s="105">
        <f t="shared" si="164"/>
        <v>0.20078632957874343</v>
      </c>
      <c r="AP55" s="105">
        <f t="shared" si="164"/>
        <v>0.20078632957874343</v>
      </c>
    </row>
    <row r="56" spans="2:42" ht="14.25" x14ac:dyDescent="0.2">
      <c r="B56" s="68" t="s">
        <v>110</v>
      </c>
      <c r="F56" s="120"/>
      <c r="R56" s="120"/>
    </row>
    <row r="57" spans="2:42" x14ac:dyDescent="0.2"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</row>
    <row r="58" spans="2:42" x14ac:dyDescent="0.2">
      <c r="B58" s="132"/>
      <c r="D58" s="133">
        <v>0.5</v>
      </c>
      <c r="E58" s="133">
        <v>0.5</v>
      </c>
      <c r="F58" s="133">
        <v>0.5</v>
      </c>
      <c r="G58" s="133">
        <v>0.5</v>
      </c>
      <c r="H58" s="133">
        <v>0.5</v>
      </c>
      <c r="I58" s="133">
        <v>0.5</v>
      </c>
      <c r="J58" s="133">
        <v>0.5</v>
      </c>
      <c r="K58" s="133">
        <v>0.5</v>
      </c>
      <c r="L58" s="133">
        <v>0.5</v>
      </c>
      <c r="M58" s="133">
        <v>0.5</v>
      </c>
      <c r="N58" s="133">
        <v>0.5</v>
      </c>
      <c r="O58" s="133">
        <v>0.5</v>
      </c>
      <c r="P58" s="133">
        <v>0.5</v>
      </c>
      <c r="Q58" s="133">
        <v>0.5</v>
      </c>
      <c r="R58" s="133">
        <v>0.5</v>
      </c>
      <c r="S58" s="133">
        <v>0.5</v>
      </c>
      <c r="T58" s="133">
        <v>0.5</v>
      </c>
      <c r="U58" s="133">
        <v>0.5</v>
      </c>
      <c r="V58" s="133">
        <v>0.5</v>
      </c>
      <c r="W58" s="133">
        <v>0.5</v>
      </c>
      <c r="X58" s="133">
        <v>0.5</v>
      </c>
      <c r="Y58" s="133">
        <v>0.5</v>
      </c>
      <c r="Z58" s="133">
        <v>0.5</v>
      </c>
      <c r="AA58" s="133">
        <v>0.5</v>
      </c>
      <c r="AB58" s="133">
        <v>0.5</v>
      </c>
      <c r="AC58" s="133">
        <v>0.5</v>
      </c>
      <c r="AD58" s="133">
        <v>0.5</v>
      </c>
      <c r="AE58" s="133">
        <v>0.5</v>
      </c>
      <c r="AF58" s="133">
        <v>0.5</v>
      </c>
      <c r="AG58" s="133">
        <v>0.5</v>
      </c>
      <c r="AH58" s="133">
        <v>0.5</v>
      </c>
      <c r="AI58" s="133">
        <v>0.5</v>
      </c>
      <c r="AJ58" s="133">
        <v>0.5</v>
      </c>
      <c r="AK58" s="133">
        <v>0.5</v>
      </c>
      <c r="AL58" s="133">
        <v>0.5</v>
      </c>
      <c r="AM58" s="133">
        <v>0.5</v>
      </c>
      <c r="AN58" s="133">
        <v>0.5</v>
      </c>
      <c r="AO58" s="133">
        <v>0.5</v>
      </c>
      <c r="AP58" s="133">
        <v>0.5</v>
      </c>
    </row>
    <row r="59" spans="2:42" x14ac:dyDescent="0.2">
      <c r="B59" s="132"/>
      <c r="AK59" s="137"/>
      <c r="AL59" s="137"/>
    </row>
    <row r="60" spans="2:42" ht="15" x14ac:dyDescent="0.2">
      <c r="B60" s="87" t="s">
        <v>113</v>
      </c>
      <c r="C60" s="88" t="s">
        <v>90</v>
      </c>
      <c r="D60" s="79">
        <f>D61+D64</f>
        <v>1</v>
      </c>
      <c r="E60" s="79">
        <f>E61+E64</f>
        <v>1</v>
      </c>
      <c r="F60" s="108">
        <f>SUM(D60,E60)/2</f>
        <v>1</v>
      </c>
      <c r="G60" s="79">
        <f>G61+G64</f>
        <v>0.99999999999999989</v>
      </c>
      <c r="H60" s="79">
        <f>H61+H64</f>
        <v>1</v>
      </c>
      <c r="I60" s="108">
        <f>SUM(G60,H60)/2</f>
        <v>1</v>
      </c>
      <c r="J60" s="79">
        <f>J61+J64</f>
        <v>1</v>
      </c>
      <c r="K60" s="79">
        <f>K61+K64</f>
        <v>1.0000000000000002</v>
      </c>
      <c r="L60" s="108">
        <f>SUM(J60,K60)/2</f>
        <v>1</v>
      </c>
      <c r="M60" s="79">
        <f>M61+M64</f>
        <v>1</v>
      </c>
      <c r="N60" s="79">
        <f>N61+N64</f>
        <v>1</v>
      </c>
      <c r="O60" s="108">
        <f>SUM(M60,N60)/2</f>
        <v>1</v>
      </c>
      <c r="P60" s="79">
        <f>P61+P64</f>
        <v>1</v>
      </c>
      <c r="Q60" s="79">
        <f>Q61+Q64</f>
        <v>1</v>
      </c>
      <c r="R60" s="108">
        <f>SUM(P60,Q60)/2</f>
        <v>1</v>
      </c>
      <c r="S60" s="79">
        <f>S61+S64</f>
        <v>0.99999999999999989</v>
      </c>
      <c r="T60" s="79">
        <f>T61+T64</f>
        <v>1</v>
      </c>
      <c r="U60" s="108">
        <f>SUM(S60,T60)/2</f>
        <v>1</v>
      </c>
      <c r="V60" s="79">
        <f>V61+V64</f>
        <v>1</v>
      </c>
      <c r="W60" s="79">
        <f>W61+W64</f>
        <v>1</v>
      </c>
      <c r="X60" s="108">
        <f>SUM(V60,W60)/2</f>
        <v>1</v>
      </c>
      <c r="Y60" s="79">
        <f>Y61+Y64</f>
        <v>1</v>
      </c>
      <c r="Z60" s="79">
        <f>Z61+Z64</f>
        <v>0.99999999999999989</v>
      </c>
      <c r="AA60" s="108">
        <f>SUM(Y60,Z60)/2</f>
        <v>1</v>
      </c>
      <c r="AB60" s="79">
        <f>AB61+AB64</f>
        <v>0.99999999999999978</v>
      </c>
      <c r="AC60" s="79">
        <f>AC61+AC64</f>
        <v>1</v>
      </c>
      <c r="AD60" s="108">
        <f>SUM(AB60,AC60)/2</f>
        <v>0.99999999999999989</v>
      </c>
      <c r="AE60" s="79">
        <f>AE61+AE64</f>
        <v>1</v>
      </c>
      <c r="AF60" s="79">
        <f>AF61+AF64</f>
        <v>1</v>
      </c>
      <c r="AG60" s="108">
        <f>SUM(AE60,AF60)/2</f>
        <v>1</v>
      </c>
      <c r="AH60" s="79">
        <f>AH61+AH64</f>
        <v>1</v>
      </c>
      <c r="AI60" s="79">
        <f>AI61+AI64</f>
        <v>1</v>
      </c>
      <c r="AJ60" s="108">
        <f>SUM(AH60,AI60)/2</f>
        <v>1</v>
      </c>
      <c r="AK60" s="79">
        <f>AK61+AK64</f>
        <v>1</v>
      </c>
      <c r="AL60" s="79">
        <f>AL61+AL64</f>
        <v>1</v>
      </c>
      <c r="AM60" s="108">
        <f>SUM(AK60,AL60)/2</f>
        <v>1</v>
      </c>
      <c r="AN60" s="79">
        <f>AN61+AN64</f>
        <v>1.0000000000000002</v>
      </c>
      <c r="AO60" s="79">
        <f>AO61+AO64</f>
        <v>1</v>
      </c>
      <c r="AP60" s="108">
        <f>SUM(AN60,AO60)/2</f>
        <v>1</v>
      </c>
    </row>
    <row r="61" spans="2:42" ht="15" x14ac:dyDescent="0.2">
      <c r="B61" s="73" t="s">
        <v>114</v>
      </c>
      <c r="C61" s="66" t="s">
        <v>90</v>
      </c>
      <c r="D61" s="71">
        <f t="shared" ref="D61:AP61" si="165">D62+D63</f>
        <v>0</v>
      </c>
      <c r="E61" s="71">
        <f t="shared" si="165"/>
        <v>0</v>
      </c>
      <c r="F61" s="71">
        <f t="shared" si="165"/>
        <v>0</v>
      </c>
      <c r="G61" s="71">
        <f t="shared" si="165"/>
        <v>0.99999999999999989</v>
      </c>
      <c r="H61" s="71">
        <f t="shared" si="165"/>
        <v>1</v>
      </c>
      <c r="I61" s="71">
        <f t="shared" si="165"/>
        <v>1</v>
      </c>
      <c r="J61" s="71">
        <f t="shared" si="165"/>
        <v>0</v>
      </c>
      <c r="K61" s="71">
        <f t="shared" si="165"/>
        <v>0</v>
      </c>
      <c r="L61" s="71">
        <f t="shared" si="165"/>
        <v>0</v>
      </c>
      <c r="M61" s="71">
        <f t="shared" si="165"/>
        <v>1</v>
      </c>
      <c r="N61" s="71">
        <f t="shared" si="165"/>
        <v>1</v>
      </c>
      <c r="O61" s="71">
        <f t="shared" si="165"/>
        <v>1</v>
      </c>
      <c r="P61" s="71">
        <f t="shared" si="165"/>
        <v>0</v>
      </c>
      <c r="Q61" s="71">
        <f t="shared" si="165"/>
        <v>0</v>
      </c>
      <c r="R61" s="71">
        <f t="shared" si="165"/>
        <v>0</v>
      </c>
      <c r="S61" s="71">
        <f t="shared" si="165"/>
        <v>0</v>
      </c>
      <c r="T61" s="71">
        <f t="shared" si="165"/>
        <v>0</v>
      </c>
      <c r="U61" s="71">
        <f t="shared" si="165"/>
        <v>0</v>
      </c>
      <c r="V61" s="71">
        <f t="shared" si="165"/>
        <v>0</v>
      </c>
      <c r="W61" s="71">
        <f t="shared" si="165"/>
        <v>0</v>
      </c>
      <c r="X61" s="71">
        <f t="shared" si="165"/>
        <v>0</v>
      </c>
      <c r="Y61" s="71">
        <f t="shared" si="165"/>
        <v>0</v>
      </c>
      <c r="Z61" s="71">
        <f t="shared" si="165"/>
        <v>0</v>
      </c>
      <c r="AA61" s="71">
        <f t="shared" si="165"/>
        <v>0</v>
      </c>
      <c r="AB61" s="71">
        <f t="shared" si="165"/>
        <v>0</v>
      </c>
      <c r="AC61" s="71">
        <f t="shared" si="165"/>
        <v>0</v>
      </c>
      <c r="AD61" s="71">
        <f t="shared" si="165"/>
        <v>0</v>
      </c>
      <c r="AE61" s="71">
        <f t="shared" si="165"/>
        <v>0</v>
      </c>
      <c r="AF61" s="71">
        <f t="shared" si="165"/>
        <v>0</v>
      </c>
      <c r="AG61" s="71">
        <f t="shared" si="165"/>
        <v>0</v>
      </c>
      <c r="AH61" s="71">
        <f t="shared" si="165"/>
        <v>0</v>
      </c>
      <c r="AI61" s="71">
        <f t="shared" si="165"/>
        <v>0</v>
      </c>
      <c r="AJ61" s="71">
        <f t="shared" si="165"/>
        <v>0</v>
      </c>
      <c r="AK61" s="71">
        <f t="shared" si="165"/>
        <v>1</v>
      </c>
      <c r="AL61" s="71">
        <f t="shared" si="165"/>
        <v>1</v>
      </c>
      <c r="AM61" s="71">
        <f t="shared" si="165"/>
        <v>1</v>
      </c>
      <c r="AN61" s="71">
        <f t="shared" si="165"/>
        <v>0</v>
      </c>
      <c r="AO61" s="71">
        <f t="shared" si="165"/>
        <v>0</v>
      </c>
      <c r="AP61" s="71">
        <f t="shared" si="165"/>
        <v>0</v>
      </c>
    </row>
    <row r="62" spans="2:42" ht="15" x14ac:dyDescent="0.2">
      <c r="B62" s="92" t="s">
        <v>115</v>
      </c>
      <c r="C62" s="63" t="s">
        <v>90</v>
      </c>
      <c r="D62" s="71">
        <f>IFERROR(D77/D76,)</f>
        <v>0</v>
      </c>
      <c r="E62" s="71">
        <f>IFERROR(E77/E76,)</f>
        <v>0</v>
      </c>
      <c r="F62" s="108">
        <f t="shared" ref="F62:F63" si="166">SUM(D62,E62)/2</f>
        <v>0</v>
      </c>
      <c r="G62" s="71">
        <f>IFERROR(G77/G76,)</f>
        <v>0.76092590750349487</v>
      </c>
      <c r="H62" s="71">
        <f>IFERROR(H77/H76,)</f>
        <v>0.8119038132532469</v>
      </c>
      <c r="I62" s="108">
        <f t="shared" ref="I62:I63" si="167">SUM(G62,H62)/2</f>
        <v>0.78641486037837094</v>
      </c>
      <c r="J62" s="71">
        <f>IFERROR(J77/J76,)</f>
        <v>0</v>
      </c>
      <c r="K62" s="71">
        <f>IFERROR(K77/K76,)</f>
        <v>0</v>
      </c>
      <c r="L62" s="108">
        <f t="shared" ref="L62:L63" si="168">SUM(J62,K62)/2</f>
        <v>0</v>
      </c>
      <c r="M62" s="71">
        <f>IFERROR(M77/M76,)</f>
        <v>0.16579576441193078</v>
      </c>
      <c r="N62" s="71">
        <f>IFERROR(N77/N76,)</f>
        <v>0.10736648088344096</v>
      </c>
      <c r="O62" s="108">
        <f t="shared" ref="O62:O63" si="169">SUM(M62,N62)/2</f>
        <v>0.13658112264768588</v>
      </c>
      <c r="P62" s="71">
        <f>IFERROR(P77/P76,)</f>
        <v>0</v>
      </c>
      <c r="Q62" s="71">
        <f>IFERROR(Q77/Q76,)</f>
        <v>0</v>
      </c>
      <c r="R62" s="108">
        <f t="shared" ref="R62:R63" si="170">SUM(P62,Q62)/2</f>
        <v>0</v>
      </c>
      <c r="S62" s="71">
        <f>IFERROR(S77/S76,)</f>
        <v>0</v>
      </c>
      <c r="T62" s="71">
        <f>IFERROR(T77/T76,)</f>
        <v>0</v>
      </c>
      <c r="U62" s="108">
        <f t="shared" ref="U62:U63" si="171">SUM(S62,T62)/2</f>
        <v>0</v>
      </c>
      <c r="V62" s="71">
        <f>IFERROR(V77/V76,)</f>
        <v>0</v>
      </c>
      <c r="W62" s="71">
        <f>IFERROR(W77/W76,)</f>
        <v>0</v>
      </c>
      <c r="X62" s="108">
        <f t="shared" ref="X62:X63" si="172">SUM(V62,W62)/2</f>
        <v>0</v>
      </c>
      <c r="Y62" s="71">
        <f>IFERROR(Y77/Y76,)</f>
        <v>0</v>
      </c>
      <c r="Z62" s="71">
        <f>IFERROR(Z77/Z76,)</f>
        <v>0</v>
      </c>
      <c r="AA62" s="108">
        <f t="shared" ref="AA62:AA63" si="173">SUM(Y62,Z62)/2</f>
        <v>0</v>
      </c>
      <c r="AB62" s="71">
        <f>IFERROR(AB77/AB76,)</f>
        <v>0</v>
      </c>
      <c r="AC62" s="71">
        <f>IFERROR(AC77/AC76,)</f>
        <v>0</v>
      </c>
      <c r="AD62" s="108">
        <f t="shared" ref="AD62:AD63" si="174">SUM(AB62,AC62)/2</f>
        <v>0</v>
      </c>
      <c r="AE62" s="71">
        <f>IFERROR(AE77/AE76,)</f>
        <v>0</v>
      </c>
      <c r="AF62" s="71">
        <f>IFERROR(AF77/AF76,)</f>
        <v>0</v>
      </c>
      <c r="AG62" s="108">
        <f t="shared" ref="AG62:AG63" si="175">SUM(AE62,AF62)/2</f>
        <v>0</v>
      </c>
      <c r="AH62" s="71">
        <f>IFERROR(AH77/AH76,)</f>
        <v>0</v>
      </c>
      <c r="AI62" s="71">
        <f>IFERROR(AI77/AI76,)</f>
        <v>0</v>
      </c>
      <c r="AJ62" s="108">
        <f t="shared" ref="AJ62:AJ63" si="176">SUM(AH62,AI62)/2</f>
        <v>0</v>
      </c>
      <c r="AK62" s="71">
        <f>IFERROR(AK77/AK76,)</f>
        <v>0.5702936058309751</v>
      </c>
      <c r="AL62" s="71">
        <f>IFERROR(AL77/AL76,)</f>
        <v>0.78959619790422853</v>
      </c>
      <c r="AM62" s="108">
        <f t="shared" ref="AM62:AM63" si="177">SUM(AK62,AL62)/2</f>
        <v>0.67994490186760181</v>
      </c>
      <c r="AN62" s="71">
        <f>IFERROR(AN77/AN76,)</f>
        <v>0</v>
      </c>
      <c r="AO62" s="71">
        <f>IFERROR(AO77/AO76,)</f>
        <v>0</v>
      </c>
      <c r="AP62" s="108">
        <f t="shared" ref="AP62:AP63" si="178">SUM(AN62,AO62)/2</f>
        <v>0</v>
      </c>
    </row>
    <row r="63" spans="2:42" ht="15" x14ac:dyDescent="0.2">
      <c r="B63" s="65" t="s">
        <v>116</v>
      </c>
      <c r="C63" s="66" t="s">
        <v>90</v>
      </c>
      <c r="D63" s="71">
        <f>IFERROR(D78/D76,)</f>
        <v>0</v>
      </c>
      <c r="E63" s="71">
        <f>IFERROR(E78/E76,)</f>
        <v>0</v>
      </c>
      <c r="F63" s="108">
        <f t="shared" si="166"/>
        <v>0</v>
      </c>
      <c r="G63" s="71">
        <f>IFERROR(G78/G76,)</f>
        <v>0.23907409249650505</v>
      </c>
      <c r="H63" s="71">
        <f>IFERROR(H78/H76,)</f>
        <v>0.18809618674675313</v>
      </c>
      <c r="I63" s="108">
        <f t="shared" si="167"/>
        <v>0.21358513962162909</v>
      </c>
      <c r="J63" s="71">
        <f>IFERROR(J78/J76,)</f>
        <v>0</v>
      </c>
      <c r="K63" s="71">
        <f>IFERROR(K78/K76,)</f>
        <v>0</v>
      </c>
      <c r="L63" s="108">
        <f t="shared" si="168"/>
        <v>0</v>
      </c>
      <c r="M63" s="71">
        <f>IFERROR(M78/M76,)</f>
        <v>0.83420423558806933</v>
      </c>
      <c r="N63" s="71">
        <f>IFERROR(N78/N76,)</f>
        <v>0.89263351911655908</v>
      </c>
      <c r="O63" s="108">
        <f t="shared" si="169"/>
        <v>0.86341887735231415</v>
      </c>
      <c r="P63" s="71">
        <f>IFERROR(P78/P76,)</f>
        <v>0</v>
      </c>
      <c r="Q63" s="71">
        <f>IFERROR(Q78/Q76,)</f>
        <v>0</v>
      </c>
      <c r="R63" s="108">
        <f t="shared" si="170"/>
        <v>0</v>
      </c>
      <c r="S63" s="71">
        <f>IFERROR(S78/S76,)</f>
        <v>0</v>
      </c>
      <c r="T63" s="71">
        <f>IFERROR(T78/T76,)</f>
        <v>0</v>
      </c>
      <c r="U63" s="108">
        <f t="shared" si="171"/>
        <v>0</v>
      </c>
      <c r="V63" s="71">
        <f>IFERROR(V78/V76,)</f>
        <v>0</v>
      </c>
      <c r="W63" s="71">
        <f>IFERROR(W78/W76,)</f>
        <v>0</v>
      </c>
      <c r="X63" s="108">
        <f t="shared" si="172"/>
        <v>0</v>
      </c>
      <c r="Y63" s="71">
        <f>IFERROR(Y78/Y76,)</f>
        <v>0</v>
      </c>
      <c r="Z63" s="71">
        <f>IFERROR(Z78/Z76,)</f>
        <v>0</v>
      </c>
      <c r="AA63" s="108">
        <f t="shared" si="173"/>
        <v>0</v>
      </c>
      <c r="AB63" s="71">
        <f>IFERROR(AB78/AB76,)</f>
        <v>0</v>
      </c>
      <c r="AC63" s="71">
        <f>IFERROR(AC78/AC76,)</f>
        <v>0</v>
      </c>
      <c r="AD63" s="108">
        <f t="shared" si="174"/>
        <v>0</v>
      </c>
      <c r="AE63" s="71">
        <f>IFERROR(AE78/AE76,)</f>
        <v>0</v>
      </c>
      <c r="AF63" s="71">
        <f>IFERROR(AF78/AF76,)</f>
        <v>0</v>
      </c>
      <c r="AG63" s="108">
        <f t="shared" si="175"/>
        <v>0</v>
      </c>
      <c r="AH63" s="71">
        <f>IFERROR(AH78/AH76,)</f>
        <v>0</v>
      </c>
      <c r="AI63" s="71">
        <f>IFERROR(AI78/AI76,)</f>
        <v>0</v>
      </c>
      <c r="AJ63" s="108">
        <f t="shared" si="176"/>
        <v>0</v>
      </c>
      <c r="AK63" s="71">
        <f>IFERROR(AK78/AK76,)</f>
        <v>0.4297063941690249</v>
      </c>
      <c r="AL63" s="71">
        <f>IFERROR(AL78/AL76,)</f>
        <v>0.21040380209577145</v>
      </c>
      <c r="AM63" s="108">
        <f t="shared" si="177"/>
        <v>0.32005509813239819</v>
      </c>
      <c r="AN63" s="71">
        <f>IFERROR(AN78/AN76,)</f>
        <v>0</v>
      </c>
      <c r="AO63" s="71">
        <f>IFERROR(AO78/AO76,)</f>
        <v>0</v>
      </c>
      <c r="AP63" s="108">
        <f t="shared" si="178"/>
        <v>0</v>
      </c>
    </row>
    <row r="64" spans="2:42" ht="15" x14ac:dyDescent="0.2">
      <c r="B64" s="73" t="s">
        <v>118</v>
      </c>
      <c r="C64" s="66" t="s">
        <v>90</v>
      </c>
      <c r="D64" s="71">
        <f>D65+D66</f>
        <v>1</v>
      </c>
      <c r="E64" s="71">
        <f>E65+E66</f>
        <v>1</v>
      </c>
      <c r="F64" s="108">
        <f>SUM(D64,E64)/2</f>
        <v>1</v>
      </c>
      <c r="G64" s="71">
        <f>G65+G66</f>
        <v>0</v>
      </c>
      <c r="H64" s="71">
        <f>H65+H66</f>
        <v>0</v>
      </c>
      <c r="I64" s="108">
        <f>SUM(G64,H64)/2</f>
        <v>0</v>
      </c>
      <c r="J64" s="71">
        <f>J65+J66</f>
        <v>1</v>
      </c>
      <c r="K64" s="71">
        <f>K65+K66</f>
        <v>1.0000000000000002</v>
      </c>
      <c r="L64" s="108">
        <f>SUM(J64,K64)/2</f>
        <v>1</v>
      </c>
      <c r="M64" s="71">
        <f>M65+M66</f>
        <v>0</v>
      </c>
      <c r="N64" s="71">
        <f>N65+N66</f>
        <v>0</v>
      </c>
      <c r="O64" s="108">
        <f>SUM(M64,N64)/2</f>
        <v>0</v>
      </c>
      <c r="P64" s="71">
        <f>P65+P66</f>
        <v>1</v>
      </c>
      <c r="Q64" s="71">
        <f>Q65+Q66</f>
        <v>1</v>
      </c>
      <c r="R64" s="108">
        <f>SUM(P64,Q64)/2</f>
        <v>1</v>
      </c>
      <c r="S64" s="71">
        <f>S65+S66</f>
        <v>0.99999999999999989</v>
      </c>
      <c r="T64" s="71">
        <f>T65+T66</f>
        <v>1</v>
      </c>
      <c r="U64" s="108">
        <f>SUM(S64,T64)/2</f>
        <v>1</v>
      </c>
      <c r="V64" s="71">
        <f>V65+V66</f>
        <v>1</v>
      </c>
      <c r="W64" s="71">
        <f>W65+W66</f>
        <v>1</v>
      </c>
      <c r="X64" s="108">
        <f>SUM(V64,W64)/2</f>
        <v>1</v>
      </c>
      <c r="Y64" s="71">
        <f>Y65+Y66</f>
        <v>1</v>
      </c>
      <c r="Z64" s="71">
        <f>Z65+Z66</f>
        <v>0.99999999999999989</v>
      </c>
      <c r="AA64" s="108">
        <f>SUM(Y64,Z64)/2</f>
        <v>1</v>
      </c>
      <c r="AB64" s="71">
        <f>AB65+AB66</f>
        <v>0.99999999999999978</v>
      </c>
      <c r="AC64" s="71">
        <f>AC65+AC66</f>
        <v>1</v>
      </c>
      <c r="AD64" s="108">
        <f>SUM(AB64,AC64)/2</f>
        <v>0.99999999999999989</v>
      </c>
      <c r="AE64" s="71">
        <f>AE65+AE66</f>
        <v>1</v>
      </c>
      <c r="AF64" s="71">
        <f>AF65+AF66</f>
        <v>1</v>
      </c>
      <c r="AG64" s="108">
        <f>SUM(AE64,AF64)/2</f>
        <v>1</v>
      </c>
      <c r="AH64" s="71">
        <f>AH65+AH66</f>
        <v>1</v>
      </c>
      <c r="AI64" s="71">
        <f>AI65+AI66</f>
        <v>1</v>
      </c>
      <c r="AJ64" s="108">
        <f>SUM(AH64,AI64)/2</f>
        <v>1</v>
      </c>
      <c r="AK64" s="71">
        <f>AK65+AK66</f>
        <v>0</v>
      </c>
      <c r="AL64" s="71">
        <f>AL65+AL66</f>
        <v>0</v>
      </c>
      <c r="AM64" s="108">
        <f>SUM(AK64,AL64)/2</f>
        <v>0</v>
      </c>
      <c r="AN64" s="71">
        <f>AN65+AN66</f>
        <v>1.0000000000000002</v>
      </c>
      <c r="AO64" s="71">
        <f>AO65+AO66</f>
        <v>1</v>
      </c>
      <c r="AP64" s="108">
        <f>SUM(AN64,AO64)/2</f>
        <v>1</v>
      </c>
    </row>
    <row r="65" spans="2:42" ht="15" x14ac:dyDescent="0.2">
      <c r="B65" s="65" t="s">
        <v>115</v>
      </c>
      <c r="C65" s="66" t="s">
        <v>90</v>
      </c>
      <c r="D65" s="71">
        <f>IFERROR(D80/D79,)</f>
        <v>0.44952646024198845</v>
      </c>
      <c r="E65" s="71">
        <f>IFERROR(E80/E79,)</f>
        <v>0.45213800031625856</v>
      </c>
      <c r="F65" s="393">
        <f t="shared" ref="F65:F69" si="179">SUM(D65,E65)/2</f>
        <v>0.4508322302791235</v>
      </c>
      <c r="G65" s="71">
        <f>IFERROR(G80/G79,)</f>
        <v>0</v>
      </c>
      <c r="H65" s="71">
        <f>IFERROR(H80/H79,)</f>
        <v>0</v>
      </c>
      <c r="I65" s="108">
        <f t="shared" ref="I65:I69" si="180">SUM(G65,H65)/2</f>
        <v>0</v>
      </c>
      <c r="J65" s="71">
        <f>IFERROR(J80/J79,)</f>
        <v>0.17830393113127316</v>
      </c>
      <c r="K65" s="71">
        <f>IFERROR(K80/K79,)</f>
        <v>0.23535690970233195</v>
      </c>
      <c r="L65" s="108">
        <f t="shared" ref="L65:L69" si="181">SUM(J65,K65)/2</f>
        <v>0.20683042041680255</v>
      </c>
      <c r="M65" s="71">
        <f>IFERROR(M80/M79,)</f>
        <v>0</v>
      </c>
      <c r="N65" s="71">
        <f>IFERROR(N80/N79,)</f>
        <v>0</v>
      </c>
      <c r="O65" s="108">
        <f t="shared" ref="O65:O69" si="182">SUM(M65,N65)/2</f>
        <v>0</v>
      </c>
      <c r="P65" s="71">
        <f>IFERROR(P80/P79,)</f>
        <v>0.65747283837379045</v>
      </c>
      <c r="Q65" s="71">
        <f>IFERROR(Q80/Q79,)</f>
        <v>0.70908282786028021</v>
      </c>
      <c r="R65" s="108">
        <f t="shared" ref="R65:R69" si="183">SUM(P65,Q65)/2</f>
        <v>0.68327783311703527</v>
      </c>
      <c r="S65" s="71">
        <f>IFERROR(S80/S79,)</f>
        <v>0.7080492201583195</v>
      </c>
      <c r="T65" s="71">
        <f>IFERROR(T80/T79,)</f>
        <v>0.70484317986959899</v>
      </c>
      <c r="U65" s="108">
        <f t="shared" ref="U65:U72" si="184">SUM(S65,T65)/2</f>
        <v>0.7064462000139593</v>
      </c>
      <c r="V65" s="71">
        <f>IFERROR(V80/V79,)</f>
        <v>0.6282080121060919</v>
      </c>
      <c r="W65" s="71">
        <f>IFERROR(W80/W79,)</f>
        <v>0.70600916002361713</v>
      </c>
      <c r="X65" s="108">
        <f t="shared" ref="X65:X69" si="185">SUM(V65,W65)/2</f>
        <v>0.66710858606485446</v>
      </c>
      <c r="Y65" s="71">
        <f>IFERROR(Y80/Y79,)</f>
        <v>0.50711954909522405</v>
      </c>
      <c r="Z65" s="71">
        <f>IFERROR(Z80/Z79,)</f>
        <v>0.24701641970364427</v>
      </c>
      <c r="AA65" s="108">
        <f t="shared" ref="AA65:AA69" si="186">SUM(Y65,Z65)/2</f>
        <v>0.37706798439943418</v>
      </c>
      <c r="AB65" s="71">
        <f>IFERROR(AB80/AB79,)</f>
        <v>0.59557495657775161</v>
      </c>
      <c r="AC65" s="71">
        <f>IFERROR(AC80/AC79,)</f>
        <v>0.77336953274412878</v>
      </c>
      <c r="AD65" s="108">
        <f t="shared" ref="AD65:AD69" si="187">SUM(AB65,AC65)/2</f>
        <v>0.68447224466094014</v>
      </c>
      <c r="AE65" s="71">
        <f>IFERROR(AE80/AE79,)</f>
        <v>0.58863397248207749</v>
      </c>
      <c r="AF65" s="71">
        <f>IFERROR(AF80/AF79,)</f>
        <v>0.56812602494657849</v>
      </c>
      <c r="AG65" s="108">
        <f t="shared" ref="AG65:AG69" si="188">SUM(AE65,AF65)/2</f>
        <v>0.57837999871432799</v>
      </c>
      <c r="AH65" s="71">
        <f>IFERROR(AH80/AH79,)</f>
        <v>5.9012053229290047E-2</v>
      </c>
      <c r="AI65" s="71">
        <f>IFERROR(AI80/AI79,)</f>
        <v>9.3933776958922952E-2</v>
      </c>
      <c r="AJ65" s="108">
        <f t="shared" ref="AJ65:AJ69" si="189">SUM(AH65,AI65)/2</f>
        <v>7.6472915094106503E-2</v>
      </c>
      <c r="AK65" s="71">
        <f>IFERROR(AK80/AK79,)</f>
        <v>0</v>
      </c>
      <c r="AL65" s="71">
        <f>IFERROR(AL80/AL79,)</f>
        <v>0</v>
      </c>
      <c r="AM65" s="108">
        <f t="shared" ref="AM65:AM69" si="190">SUM(AK65,AL65)/2</f>
        <v>0</v>
      </c>
      <c r="AN65" s="71">
        <f>IFERROR(AN80/AN79,)</f>
        <v>0.19640162945081477</v>
      </c>
      <c r="AO65" s="71">
        <f>IFERROR(AO80/AO79,)</f>
        <v>0.34240752270336411</v>
      </c>
      <c r="AP65" s="108">
        <f t="shared" ref="AP65:AP69" si="191">SUM(AN65,AO65)/2</f>
        <v>0.26940457607708945</v>
      </c>
    </row>
    <row r="66" spans="2:42" ht="15" x14ac:dyDescent="0.2">
      <c r="B66" s="65" t="s">
        <v>116</v>
      </c>
      <c r="C66" s="66" t="s">
        <v>90</v>
      </c>
      <c r="D66" s="71">
        <f>IFERROR(D81/D79,)</f>
        <v>0.5504735397580115</v>
      </c>
      <c r="E66" s="71">
        <f>IFERROR(E81/E79,)</f>
        <v>0.5478619996837415</v>
      </c>
      <c r="F66" s="393">
        <f t="shared" si="179"/>
        <v>0.54916776972087655</v>
      </c>
      <c r="G66" s="71">
        <f>IFERROR(G81/G79,)</f>
        <v>0</v>
      </c>
      <c r="H66" s="71">
        <f>IFERROR(H81/H79,)</f>
        <v>0</v>
      </c>
      <c r="I66" s="108">
        <f t="shared" si="180"/>
        <v>0</v>
      </c>
      <c r="J66" s="71">
        <f>IFERROR(J81/J79,)</f>
        <v>0.82169606886872681</v>
      </c>
      <c r="K66" s="71">
        <f>IFERROR(K81/K79,)</f>
        <v>0.76464309029766819</v>
      </c>
      <c r="L66" s="108">
        <f t="shared" si="181"/>
        <v>0.79316957958319745</v>
      </c>
      <c r="M66" s="71">
        <f>IFERROR(M81/M79,)</f>
        <v>0</v>
      </c>
      <c r="N66" s="71">
        <f>IFERROR(N81/N79,)</f>
        <v>0</v>
      </c>
      <c r="O66" s="108">
        <f t="shared" si="182"/>
        <v>0</v>
      </c>
      <c r="P66" s="71">
        <f>IFERROR(P81/P79,)</f>
        <v>0.3425271616262095</v>
      </c>
      <c r="Q66" s="71">
        <f>IFERROR(Q81/Q79,)</f>
        <v>0.29091717213971974</v>
      </c>
      <c r="R66" s="108">
        <f t="shared" si="183"/>
        <v>0.31672216688296462</v>
      </c>
      <c r="S66" s="71">
        <f>IFERROR(S81/S79,)</f>
        <v>0.29195077984168039</v>
      </c>
      <c r="T66" s="71">
        <f>IFERROR(T81/T79,)</f>
        <v>0.29515682013040107</v>
      </c>
      <c r="U66" s="108">
        <f t="shared" si="184"/>
        <v>0.2935537999860407</v>
      </c>
      <c r="V66" s="71">
        <f>IFERROR(V81/V79,)</f>
        <v>0.37179198789390805</v>
      </c>
      <c r="W66" s="71">
        <f>IFERROR(W81/W79,)</f>
        <v>0.29399083997638287</v>
      </c>
      <c r="X66" s="108">
        <f t="shared" si="185"/>
        <v>0.33289141393514543</v>
      </c>
      <c r="Y66" s="71">
        <f>IFERROR(Y81/Y79,)</f>
        <v>0.49288045090477606</v>
      </c>
      <c r="Z66" s="71">
        <f>IFERROR(Z81/Z79,)</f>
        <v>0.75298358029635559</v>
      </c>
      <c r="AA66" s="108">
        <f t="shared" si="186"/>
        <v>0.62293201560056577</v>
      </c>
      <c r="AB66" s="71">
        <f>IFERROR(AB81/AB79,)</f>
        <v>0.40442504342224822</v>
      </c>
      <c r="AC66" s="71">
        <f>IFERROR(AC81/AC79,)</f>
        <v>0.22663046725587124</v>
      </c>
      <c r="AD66" s="108">
        <f t="shared" si="187"/>
        <v>0.31552775533905975</v>
      </c>
      <c r="AE66" s="71">
        <f>IFERROR(AE81/AE79,)</f>
        <v>0.41136602751792256</v>
      </c>
      <c r="AF66" s="71">
        <f>IFERROR(AF81/AF79,)</f>
        <v>0.43187397505342157</v>
      </c>
      <c r="AG66" s="108">
        <f t="shared" si="188"/>
        <v>0.42162000128567206</v>
      </c>
      <c r="AH66" s="71">
        <f>IFERROR(AH81/AH79,)</f>
        <v>0.94098794677070996</v>
      </c>
      <c r="AI66" s="71">
        <f>IFERROR(AI81/AI79,)</f>
        <v>0.90606622304107709</v>
      </c>
      <c r="AJ66" s="108">
        <f t="shared" si="189"/>
        <v>0.92352708490589352</v>
      </c>
      <c r="AK66" s="71">
        <f>IFERROR(AK81/AK79,)</f>
        <v>0</v>
      </c>
      <c r="AL66" s="71">
        <f>IFERROR(AL81/AL79,)</f>
        <v>0</v>
      </c>
      <c r="AM66" s="108">
        <f t="shared" si="190"/>
        <v>0</v>
      </c>
      <c r="AN66" s="71">
        <f>IFERROR(AN81/AN79,)</f>
        <v>0.80359837054918537</v>
      </c>
      <c r="AO66" s="71">
        <f>IFERROR(AO81/AO79,)</f>
        <v>0.65759247729663584</v>
      </c>
      <c r="AP66" s="108">
        <f t="shared" si="191"/>
        <v>0.73059542392291066</v>
      </c>
    </row>
    <row r="67" spans="2:42" ht="15" x14ac:dyDescent="0.2">
      <c r="B67" s="93" t="s">
        <v>120</v>
      </c>
      <c r="C67" s="88" t="s">
        <v>90</v>
      </c>
      <c r="D67" s="71">
        <f>D68+D69</f>
        <v>1</v>
      </c>
      <c r="E67" s="71">
        <f>E68+E69</f>
        <v>1</v>
      </c>
      <c r="F67" s="108">
        <f t="shared" si="179"/>
        <v>1</v>
      </c>
      <c r="G67" s="71">
        <f>G68+G69</f>
        <v>1</v>
      </c>
      <c r="H67" s="71">
        <f>H68+H69</f>
        <v>1</v>
      </c>
      <c r="I67" s="108">
        <f t="shared" si="180"/>
        <v>1</v>
      </c>
      <c r="J67" s="71">
        <f>J68+J69</f>
        <v>1</v>
      </c>
      <c r="K67" s="71">
        <f>K68+K69</f>
        <v>0.99999999999999989</v>
      </c>
      <c r="L67" s="108">
        <f t="shared" si="181"/>
        <v>1</v>
      </c>
      <c r="M67" s="71">
        <f>M68+M69</f>
        <v>1</v>
      </c>
      <c r="N67" s="71">
        <f>N68+N69</f>
        <v>1</v>
      </c>
      <c r="O67" s="108">
        <f t="shared" si="182"/>
        <v>1</v>
      </c>
      <c r="P67" s="71">
        <f>P68+P69</f>
        <v>1</v>
      </c>
      <c r="Q67" s="71">
        <f>Q68+Q69</f>
        <v>1</v>
      </c>
      <c r="R67" s="108">
        <f t="shared" si="183"/>
        <v>1</v>
      </c>
      <c r="S67" s="71">
        <f>S68+S69</f>
        <v>1</v>
      </c>
      <c r="T67" s="71">
        <f>T68+T69</f>
        <v>1</v>
      </c>
      <c r="U67" s="108">
        <f t="shared" si="184"/>
        <v>1</v>
      </c>
      <c r="V67" s="71">
        <f>V68+V69</f>
        <v>1</v>
      </c>
      <c r="W67" s="71">
        <f>W68+W69</f>
        <v>1</v>
      </c>
      <c r="X67" s="108">
        <f t="shared" si="185"/>
        <v>1</v>
      </c>
      <c r="Y67" s="71">
        <f>Y68+Y69</f>
        <v>1</v>
      </c>
      <c r="Z67" s="71">
        <f>Z68+Z69</f>
        <v>1</v>
      </c>
      <c r="AA67" s="108">
        <f t="shared" si="186"/>
        <v>1</v>
      </c>
      <c r="AB67" s="71">
        <f>AB68+AB69</f>
        <v>1</v>
      </c>
      <c r="AC67" s="71">
        <f>AC68+AC69</f>
        <v>1</v>
      </c>
      <c r="AD67" s="108">
        <f t="shared" si="187"/>
        <v>1</v>
      </c>
      <c r="AE67" s="71">
        <f>AE68+AE69</f>
        <v>1</v>
      </c>
      <c r="AF67" s="71">
        <f>AF68+AF69</f>
        <v>0.99999999999999989</v>
      </c>
      <c r="AG67" s="108">
        <f t="shared" si="188"/>
        <v>1</v>
      </c>
      <c r="AH67" s="71">
        <f>AH68+AH69</f>
        <v>0.99999999999999989</v>
      </c>
      <c r="AI67" s="71">
        <f>AI68+AI69</f>
        <v>1</v>
      </c>
      <c r="AJ67" s="108">
        <f t="shared" si="189"/>
        <v>1</v>
      </c>
      <c r="AK67" s="71">
        <f>AK68+AK69</f>
        <v>1</v>
      </c>
      <c r="AL67" s="71">
        <f>AL68+AL69</f>
        <v>1</v>
      </c>
      <c r="AM67" s="108">
        <f t="shared" si="190"/>
        <v>1</v>
      </c>
      <c r="AN67" s="71">
        <f>AN68+AN69</f>
        <v>1</v>
      </c>
      <c r="AO67" s="71">
        <f>AO68+AO69</f>
        <v>1</v>
      </c>
      <c r="AP67" s="108">
        <f t="shared" si="191"/>
        <v>1</v>
      </c>
    </row>
    <row r="68" spans="2:42" ht="15" x14ac:dyDescent="0.2">
      <c r="B68" s="95" t="s">
        <v>115</v>
      </c>
      <c r="C68" s="74" t="s">
        <v>90</v>
      </c>
      <c r="D68" s="71">
        <f>IFERROR(D83/D82,)</f>
        <v>1</v>
      </c>
      <c r="E68" s="71">
        <f>IFERROR(E83/E82,)</f>
        <v>1</v>
      </c>
      <c r="F68" s="108">
        <f t="shared" si="179"/>
        <v>1</v>
      </c>
      <c r="G68" s="71">
        <f>IFERROR(G83/G82,)</f>
        <v>0.84303070448717266</v>
      </c>
      <c r="H68" s="71">
        <f>IFERROR(H83/H82,)</f>
        <v>0.86108674143258945</v>
      </c>
      <c r="I68" s="108">
        <f t="shared" si="180"/>
        <v>0.85205872295988105</v>
      </c>
      <c r="J68" s="71">
        <f>IFERROR(J83/J82,)</f>
        <v>0.9826199574008071</v>
      </c>
      <c r="K68" s="71">
        <f>IFERROR(K83/K82,)</f>
        <v>0.97016916022456712</v>
      </c>
      <c r="L68" s="108">
        <f t="shared" si="181"/>
        <v>0.97639455881268711</v>
      </c>
      <c r="M68" s="71">
        <f>IFERROR(M83/M82,)</f>
        <v>0.98493639711080705</v>
      </c>
      <c r="N68" s="71">
        <f>IFERROR(N83/N82,)</f>
        <v>0.97869603601274935</v>
      </c>
      <c r="O68" s="108">
        <f t="shared" si="182"/>
        <v>0.9818162165617782</v>
      </c>
      <c r="P68" s="71">
        <f>IFERROR(P83/P82,)</f>
        <v>0.84321898044244958</v>
      </c>
      <c r="Q68" s="71">
        <f>IFERROR(Q83/Q82,)</f>
        <v>0.79474996432259093</v>
      </c>
      <c r="R68" s="108">
        <f t="shared" si="183"/>
        <v>0.81898447238252026</v>
      </c>
      <c r="S68" s="71">
        <f>IFERROR(S83/S82,)</f>
        <v>1</v>
      </c>
      <c r="T68" s="71">
        <f>IFERROR(T83/T82,)</f>
        <v>1</v>
      </c>
      <c r="U68" s="108">
        <f t="shared" si="184"/>
        <v>1</v>
      </c>
      <c r="V68" s="71">
        <f>IFERROR(V83/V82,)</f>
        <v>1</v>
      </c>
      <c r="W68" s="71">
        <f>IFERROR(W83/W82,)</f>
        <v>1</v>
      </c>
      <c r="X68" s="108">
        <f t="shared" si="185"/>
        <v>1</v>
      </c>
      <c r="Y68" s="71">
        <f>IFERROR(Y83/Y82,)</f>
        <v>0.97095070422535212</v>
      </c>
      <c r="Z68" s="71">
        <f>IFERROR(Z83/Z82,)</f>
        <v>0.97181881375993384</v>
      </c>
      <c r="AA68" s="108">
        <f t="shared" si="186"/>
        <v>0.97138475899264298</v>
      </c>
      <c r="AB68" s="71">
        <f>IFERROR(AB83/AB82,)</f>
        <v>0.99001104236294535</v>
      </c>
      <c r="AC68" s="71">
        <f>IFERROR(AC83/AC82,)</f>
        <v>0.98861986680458025</v>
      </c>
      <c r="AD68" s="108">
        <f t="shared" si="187"/>
        <v>0.9893154545837628</v>
      </c>
      <c r="AE68" s="71">
        <f>IFERROR(AE83/AE82,)</f>
        <v>0.99860699982587497</v>
      </c>
      <c r="AF68" s="71">
        <f>IFERROR(AF83/AF82,)</f>
        <v>0.99814020815720195</v>
      </c>
      <c r="AG68" s="108">
        <f t="shared" si="188"/>
        <v>0.99837360399153852</v>
      </c>
      <c r="AH68" s="71">
        <f>IFERROR(AH83/AH82,)</f>
        <v>0.99279062190452649</v>
      </c>
      <c r="AI68" s="71">
        <f>IFERROR(AI83/AI82,)</f>
        <v>0.99529233634124903</v>
      </c>
      <c r="AJ68" s="108">
        <f t="shared" si="189"/>
        <v>0.99404147912288776</v>
      </c>
      <c r="AK68" s="71">
        <f>IFERROR(AK83/AK82,)</f>
        <v>0.99978418018172477</v>
      </c>
      <c r="AL68" s="71">
        <f>IFERROR(AL83/AL82,)</f>
        <v>0.99985768851437218</v>
      </c>
      <c r="AM68" s="108">
        <f t="shared" si="190"/>
        <v>0.99982093434804842</v>
      </c>
      <c r="AN68" s="71">
        <f>IFERROR(AN83/AN82,)</f>
        <v>1</v>
      </c>
      <c r="AO68" s="71">
        <f>IFERROR(AO83/AO82,)</f>
        <v>1</v>
      </c>
      <c r="AP68" s="108">
        <f t="shared" si="191"/>
        <v>1</v>
      </c>
    </row>
    <row r="69" spans="2:42" ht="15" x14ac:dyDescent="0.2">
      <c r="B69" s="97" t="s">
        <v>121</v>
      </c>
      <c r="C69" s="66" t="s">
        <v>90</v>
      </c>
      <c r="D69" s="71">
        <f>IFERROR(D84/D82,)</f>
        <v>0</v>
      </c>
      <c r="E69" s="71">
        <f>IFERROR(E84/E82,)</f>
        <v>0</v>
      </c>
      <c r="F69" s="108">
        <f t="shared" si="179"/>
        <v>0</v>
      </c>
      <c r="G69" s="71">
        <f>IFERROR(G84/G82,)</f>
        <v>0.15696929551282734</v>
      </c>
      <c r="H69" s="71">
        <f>IFERROR(H84/H82,)</f>
        <v>0.13891325856741057</v>
      </c>
      <c r="I69" s="108">
        <f t="shared" si="180"/>
        <v>0.14794127704011895</v>
      </c>
      <c r="J69" s="71">
        <f>IFERROR(J84/J82,)</f>
        <v>1.7380042599192971E-2</v>
      </c>
      <c r="K69" s="71">
        <f>IFERROR(K84/K82,)</f>
        <v>2.983083977543282E-2</v>
      </c>
      <c r="L69" s="108">
        <f t="shared" si="181"/>
        <v>2.3605441187312896E-2</v>
      </c>
      <c r="M69" s="71">
        <f>IFERROR(M84/M82,)</f>
        <v>1.5063602889192895E-2</v>
      </c>
      <c r="N69" s="71">
        <f>IFERROR(N84/N82,)</f>
        <v>2.1303963987250738E-2</v>
      </c>
      <c r="O69" s="108">
        <f t="shared" si="182"/>
        <v>1.8183783438221815E-2</v>
      </c>
      <c r="P69" s="71">
        <f>IFERROR(P84/P82,)</f>
        <v>0.1567810195575505</v>
      </c>
      <c r="Q69" s="71">
        <f>IFERROR(Q84/Q82,)</f>
        <v>0.20525003567740904</v>
      </c>
      <c r="R69" s="108">
        <f t="shared" si="183"/>
        <v>0.18101552761747977</v>
      </c>
      <c r="S69" s="71">
        <f>IFERROR(S84/S82,)</f>
        <v>0</v>
      </c>
      <c r="T69" s="71">
        <f>IFERROR(T84/T82,)</f>
        <v>0</v>
      </c>
      <c r="U69" s="108">
        <f t="shared" si="184"/>
        <v>0</v>
      </c>
      <c r="V69" s="71">
        <f>IFERROR(V84/V82,)</f>
        <v>0</v>
      </c>
      <c r="W69" s="71">
        <f>IFERROR(W84/W82,)</f>
        <v>0</v>
      </c>
      <c r="X69" s="108">
        <f t="shared" si="185"/>
        <v>0</v>
      </c>
      <c r="Y69" s="71">
        <f>IFERROR(Y84/Y82,)</f>
        <v>2.9049295774647887E-2</v>
      </c>
      <c r="Z69" s="71">
        <f>IFERROR(Z84/Z82,)</f>
        <v>2.8181186240066134E-2</v>
      </c>
      <c r="AA69" s="108">
        <f t="shared" si="186"/>
        <v>2.861524100735701E-2</v>
      </c>
      <c r="AB69" s="71">
        <f>IFERROR(AB84/AB82,)</f>
        <v>9.9889576370547194E-3</v>
      </c>
      <c r="AC69" s="71">
        <f>IFERROR(AC84/AC82,)</f>
        <v>1.138013319541982E-2</v>
      </c>
      <c r="AD69" s="108">
        <f t="shared" si="187"/>
        <v>1.068454541623727E-2</v>
      </c>
      <c r="AE69" s="71">
        <f>IFERROR(AE84/AE82,)</f>
        <v>1.3930001741250216E-3</v>
      </c>
      <c r="AF69" s="71">
        <f>IFERROR(AF84/AF82,)</f>
        <v>1.8597918427979945E-3</v>
      </c>
      <c r="AG69" s="108">
        <f t="shared" si="188"/>
        <v>1.626396008461508E-3</v>
      </c>
      <c r="AH69" s="71">
        <f>IFERROR(AH84/AH82,)</f>
        <v>7.2093780954734198E-3</v>
      </c>
      <c r="AI69" s="71">
        <f>IFERROR(AI84/AI82,)</f>
        <v>4.707663658750947E-3</v>
      </c>
      <c r="AJ69" s="108">
        <f t="shared" si="189"/>
        <v>5.9585208771121834E-3</v>
      </c>
      <c r="AK69" s="71">
        <f>IFERROR(AK84/AK82,)</f>
        <v>2.1581981827520106E-4</v>
      </c>
      <c r="AL69" s="71">
        <f>IFERROR(AL84/AL82,)</f>
        <v>1.4231148562777958E-4</v>
      </c>
      <c r="AM69" s="108">
        <f t="shared" si="190"/>
        <v>1.7906565195149031E-4</v>
      </c>
      <c r="AN69" s="71">
        <f>IFERROR(AN84/AN82,)</f>
        <v>0</v>
      </c>
      <c r="AO69" s="71">
        <f>IFERROR(AO84/AO82,)</f>
        <v>0</v>
      </c>
      <c r="AP69" s="108">
        <f t="shared" si="191"/>
        <v>0</v>
      </c>
    </row>
    <row r="70" spans="2:42" ht="15" x14ac:dyDescent="0.2">
      <c r="B70" s="99" t="s">
        <v>0</v>
      </c>
      <c r="C70" s="77" t="s">
        <v>90</v>
      </c>
      <c r="D70" s="79">
        <f>D71+D72</f>
        <v>1</v>
      </c>
      <c r="E70" s="79">
        <f>E71+E72</f>
        <v>1</v>
      </c>
      <c r="F70" s="108">
        <f>SUM(D70,E70)/2</f>
        <v>1</v>
      </c>
      <c r="G70" s="115">
        <f>G71+G72</f>
        <v>1</v>
      </c>
      <c r="H70" s="115">
        <f>H71+H72</f>
        <v>1</v>
      </c>
      <c r="I70" s="108">
        <f>SUM(G70,H70)/2</f>
        <v>1</v>
      </c>
      <c r="J70" s="79">
        <f>J71+J72</f>
        <v>1</v>
      </c>
      <c r="K70" s="79">
        <f>K71+K72</f>
        <v>0.99999999999999989</v>
      </c>
      <c r="L70" s="108">
        <f>SUM(J70,K70)/2</f>
        <v>1</v>
      </c>
      <c r="M70" s="79">
        <f>M71+M72</f>
        <v>1</v>
      </c>
      <c r="N70" s="79">
        <f>N71+N72</f>
        <v>1</v>
      </c>
      <c r="O70" s="108">
        <f>SUM(M70,N70)/2</f>
        <v>1</v>
      </c>
      <c r="P70" s="79">
        <f>P71+P72</f>
        <v>1</v>
      </c>
      <c r="Q70" s="79">
        <f>Q71+Q72</f>
        <v>1</v>
      </c>
      <c r="R70" s="108">
        <f>SUM(P70,Q70)/2</f>
        <v>1</v>
      </c>
      <c r="S70" s="79">
        <f>S71+S72</f>
        <v>0.99999999999999989</v>
      </c>
      <c r="T70" s="79">
        <f>T71+T72</f>
        <v>1</v>
      </c>
      <c r="U70" s="108">
        <f>SUM(S70,T70)/2</f>
        <v>1</v>
      </c>
      <c r="V70" s="79">
        <f>V71+V72</f>
        <v>1</v>
      </c>
      <c r="W70" s="79">
        <f>W71+W72</f>
        <v>1</v>
      </c>
      <c r="X70" s="108">
        <f>SUM(V70,W70)/2</f>
        <v>1</v>
      </c>
      <c r="Y70" s="79">
        <f>Y71+Y72</f>
        <v>1</v>
      </c>
      <c r="Z70" s="79">
        <f>Z71+Z72</f>
        <v>1</v>
      </c>
      <c r="AA70" s="108">
        <f>SUM(Y70,Z70)/2</f>
        <v>1</v>
      </c>
      <c r="AB70" s="79">
        <f>AB71+AB72</f>
        <v>1</v>
      </c>
      <c r="AC70" s="79">
        <f>AC71+AC72</f>
        <v>0.99999999999999989</v>
      </c>
      <c r="AD70" s="108">
        <f>SUM(AB70,AC70)/2</f>
        <v>1</v>
      </c>
      <c r="AE70" s="79">
        <f>AE71+AE72</f>
        <v>1</v>
      </c>
      <c r="AF70" s="79">
        <f>AF71+AF72</f>
        <v>1</v>
      </c>
      <c r="AG70" s="108">
        <f>SUM(AE70,AF70)/2</f>
        <v>1</v>
      </c>
      <c r="AH70" s="79">
        <f>AH71+AH72</f>
        <v>1</v>
      </c>
      <c r="AI70" s="79">
        <f>AI71+AI72</f>
        <v>1</v>
      </c>
      <c r="AJ70" s="108">
        <f>SUM(AH70,AI70)/2</f>
        <v>1</v>
      </c>
      <c r="AK70" s="79">
        <f>AK71+AK72</f>
        <v>1</v>
      </c>
      <c r="AL70" s="79">
        <f>AL71+AL72</f>
        <v>1</v>
      </c>
      <c r="AM70" s="108">
        <f>SUM(AK70,AL70)/2</f>
        <v>1</v>
      </c>
      <c r="AN70" s="79">
        <f>AN71+AN72</f>
        <v>1</v>
      </c>
      <c r="AO70" s="79">
        <f>AO71+AO72</f>
        <v>1</v>
      </c>
      <c r="AP70" s="108">
        <f>SUM(AN70,AO70)/2</f>
        <v>1</v>
      </c>
    </row>
    <row r="71" spans="2:42" ht="15" x14ac:dyDescent="0.2">
      <c r="B71" s="65" t="s">
        <v>115</v>
      </c>
      <c r="C71" s="66" t="s">
        <v>90</v>
      </c>
      <c r="D71" s="71">
        <f>IFERROR(D86/D85,)</f>
        <v>1</v>
      </c>
      <c r="E71" s="71">
        <f>IFERROR(E86/E85,)</f>
        <v>1</v>
      </c>
      <c r="F71" s="108">
        <f t="shared" ref="F71:F72" si="192">SUM(D71,E71)/2</f>
        <v>1</v>
      </c>
      <c r="G71" s="71">
        <f>IFERROR(G86/G85,)</f>
        <v>0.99201435291113726</v>
      </c>
      <c r="H71" s="71">
        <f>IFERROR(H86/H85,)</f>
        <v>0.99202527491903192</v>
      </c>
      <c r="I71" s="108">
        <f t="shared" ref="I71:I72" si="193">SUM(G71,H71)/2</f>
        <v>0.99201981391508465</v>
      </c>
      <c r="J71" s="71">
        <f>IFERROR(J86/J85,)</f>
        <v>0.3288622827276042</v>
      </c>
      <c r="K71" s="71">
        <f>IFERROR(K86/K85,)</f>
        <v>0.31187686939182446</v>
      </c>
      <c r="L71" s="108">
        <f t="shared" ref="L71:L72" si="194">SUM(J71,K71)/2</f>
        <v>0.32036957605971433</v>
      </c>
      <c r="M71" s="71">
        <f>IFERROR(M86/M85,)</f>
        <v>0.66191059600203028</v>
      </c>
      <c r="N71" s="71">
        <f>IFERROR(N86/N85,)</f>
        <v>0.51470715473676454</v>
      </c>
      <c r="O71" s="108">
        <f t="shared" ref="O71:O72" si="195">SUM(M71,N71)/2</f>
        <v>0.58830887536939747</v>
      </c>
      <c r="P71" s="71">
        <f>IFERROR(P86/P85,)</f>
        <v>0.38779956427015255</v>
      </c>
      <c r="Q71" s="71">
        <f>IFERROR(Q86/Q85,)</f>
        <v>0.31981723166160497</v>
      </c>
      <c r="R71" s="108">
        <f t="shared" ref="R71:R72" si="196">SUM(P71,Q71)/2</f>
        <v>0.35380839796587876</v>
      </c>
      <c r="S71" s="71">
        <f>IFERROR(S86/S85,)</f>
        <v>9.1326823664560602E-2</v>
      </c>
      <c r="T71" s="71">
        <f>IFERROR(T86/T85,)</f>
        <v>0.15841584158415839</v>
      </c>
      <c r="U71" s="108">
        <f t="shared" si="184"/>
        <v>0.1248713326243595</v>
      </c>
      <c r="V71" s="71">
        <f>IFERROR(V86/V85,)</f>
        <v>0.9830673470413489</v>
      </c>
      <c r="W71" s="71">
        <f>IFERROR(W86/W85,)</f>
        <v>0.98181194405357974</v>
      </c>
      <c r="X71" s="108">
        <f t="shared" ref="X71:X72" si="197">SUM(V71,W71)/2</f>
        <v>0.98243964554746432</v>
      </c>
      <c r="Y71" s="71">
        <f>IFERROR(Y86/Y85,)</f>
        <v>0.97287522603978305</v>
      </c>
      <c r="Z71" s="71">
        <f>IFERROR(Z86/Z85,)</f>
        <v>0.97981673596253982</v>
      </c>
      <c r="AA71" s="108">
        <f t="shared" ref="AA71:AA72" si="198">SUM(Y71,Z71)/2</f>
        <v>0.97634598100116143</v>
      </c>
      <c r="AB71" s="71">
        <f>IFERROR(AB86/AB85,)</f>
        <v>0.95492619667748524</v>
      </c>
      <c r="AC71" s="71">
        <f>IFERROR(AC86/AC85,)</f>
        <v>0.96432136684568326</v>
      </c>
      <c r="AD71" s="108">
        <f t="shared" ref="AD71:AD72" si="199">SUM(AB71,AC71)/2</f>
        <v>0.95962378176158425</v>
      </c>
      <c r="AE71" s="71">
        <f>IFERROR(AE86/AE85,)</f>
        <v>0.66558704453441297</v>
      </c>
      <c r="AF71" s="71">
        <f>IFERROR(AF86/AF85,)</f>
        <v>0.9031533441065327</v>
      </c>
      <c r="AG71" s="108">
        <f t="shared" ref="AG71:AG72" si="200">SUM(AE71,AF71)/2</f>
        <v>0.78437019432047284</v>
      </c>
      <c r="AH71" s="71">
        <f>IFERROR(AH86/AH85,)</f>
        <v>1</v>
      </c>
      <c r="AI71" s="71">
        <f>IFERROR(AI86/AI85,)</f>
        <v>1</v>
      </c>
      <c r="AJ71" s="108">
        <f t="shared" ref="AJ71:AJ72" si="201">SUM(AH71,AI71)/2</f>
        <v>1</v>
      </c>
      <c r="AK71" s="71">
        <f>IFERROR(AK86/AK85,)</f>
        <v>0.98484173022927757</v>
      </c>
      <c r="AL71" s="71">
        <f>IFERROR(AL86/AL85,)</f>
        <v>0.97257683783118209</v>
      </c>
      <c r="AM71" s="108">
        <f t="shared" ref="AM71:AM72" si="202">SUM(AK71,AL71)/2</f>
        <v>0.97870928403022983</v>
      </c>
      <c r="AN71" s="71">
        <f>IFERROR(AN86/AN85,)</f>
        <v>0.80001023882048794</v>
      </c>
      <c r="AO71" s="71">
        <f>IFERROR(AO86/AO85,)</f>
        <v>1</v>
      </c>
      <c r="AP71" s="108">
        <f t="shared" ref="AP71:AP72" si="203">SUM(AN71,AO71)/2</f>
        <v>0.90000511941024397</v>
      </c>
    </row>
    <row r="72" spans="2:42" ht="15" x14ac:dyDescent="0.2">
      <c r="B72" s="102" t="s">
        <v>123</v>
      </c>
      <c r="C72" s="103" t="s">
        <v>90</v>
      </c>
      <c r="D72" s="71">
        <f>IFERROR(D87/D85,)</f>
        <v>0</v>
      </c>
      <c r="E72" s="71">
        <f>IFERROR(E87/E85,)</f>
        <v>0</v>
      </c>
      <c r="F72" s="108">
        <f t="shared" si="192"/>
        <v>0</v>
      </c>
      <c r="G72" s="183">
        <f>IFERROR(G87/G85,)</f>
        <v>7.9856470888627264E-3</v>
      </c>
      <c r="H72" s="71">
        <f>IFERROR(H87/H85,)</f>
        <v>7.9747250809681421E-3</v>
      </c>
      <c r="I72" s="108">
        <f t="shared" si="193"/>
        <v>7.9801860849154343E-3</v>
      </c>
      <c r="J72" s="71">
        <f>IFERROR(J87/J85,)</f>
        <v>0.6711377172723958</v>
      </c>
      <c r="K72" s="71">
        <f>IFERROR(K87/K85,)</f>
        <v>0.68812313060817543</v>
      </c>
      <c r="L72" s="108">
        <f t="shared" si="194"/>
        <v>0.67963042394028561</v>
      </c>
      <c r="M72" s="71">
        <f>IFERROR(M87/M85,)</f>
        <v>0.33808940399796972</v>
      </c>
      <c r="N72" s="71">
        <f>IFERROR(N87/N85,)</f>
        <v>0.48529284526323546</v>
      </c>
      <c r="O72" s="108">
        <f t="shared" si="195"/>
        <v>0.41169112463060259</v>
      </c>
      <c r="P72" s="71">
        <f>IFERROR(P87/P85,)</f>
        <v>0.6122004357298475</v>
      </c>
      <c r="Q72" s="71">
        <f>IFERROR(Q87/Q85,)</f>
        <v>0.68018276833839497</v>
      </c>
      <c r="R72" s="108">
        <f t="shared" si="196"/>
        <v>0.64619160203412118</v>
      </c>
      <c r="S72" s="71">
        <f>IFERROR(S87/S85,)</f>
        <v>0.90867317633543931</v>
      </c>
      <c r="T72" s="71">
        <f>IFERROR(T87/T85,)</f>
        <v>0.84158415841584167</v>
      </c>
      <c r="U72" s="108">
        <f t="shared" si="184"/>
        <v>0.87512866737564043</v>
      </c>
      <c r="V72" s="71">
        <f>IFERROR(V87/V85,)</f>
        <v>1.6932652958651102E-2</v>
      </c>
      <c r="W72" s="71">
        <f>IFERROR(W87/W85,)</f>
        <v>1.8188055946420315E-2</v>
      </c>
      <c r="X72" s="108">
        <f t="shared" si="197"/>
        <v>1.7560354452535711E-2</v>
      </c>
      <c r="Y72" s="71">
        <f>IFERROR(Y87/Y85,)</f>
        <v>2.7124773960217001E-2</v>
      </c>
      <c r="Z72" s="71">
        <f>IFERROR(Z87/Z85,)</f>
        <v>2.0183264037460139E-2</v>
      </c>
      <c r="AA72" s="108">
        <f t="shared" si="198"/>
        <v>2.365401899883857E-2</v>
      </c>
      <c r="AB72" s="71">
        <f>IFERROR(AB87/AB85,)</f>
        <v>4.5073803322514705E-2</v>
      </c>
      <c r="AC72" s="71">
        <f>IFERROR(AC87/AC85,)</f>
        <v>3.5678633154316672E-2</v>
      </c>
      <c r="AD72" s="108">
        <f t="shared" si="199"/>
        <v>4.0376218238415688E-2</v>
      </c>
      <c r="AE72" s="71">
        <f>IFERROR(AE87/AE85,)</f>
        <v>0.33441295546558703</v>
      </c>
      <c r="AF72" s="71">
        <f>IFERROR(AF87/AF85,)</f>
        <v>9.6846655893467359E-2</v>
      </c>
      <c r="AG72" s="108">
        <f t="shared" si="200"/>
        <v>0.21562980567952719</v>
      </c>
      <c r="AH72" s="71">
        <f>IFERROR(AH87/AH85,)</f>
        <v>0</v>
      </c>
      <c r="AI72" s="71">
        <f>IFERROR(AI87/AI85,)</f>
        <v>0</v>
      </c>
      <c r="AJ72" s="108">
        <f t="shared" si="201"/>
        <v>0</v>
      </c>
      <c r="AK72" s="71">
        <f>IFERROR(AK87/AK85,)</f>
        <v>1.5158269770722467E-2</v>
      </c>
      <c r="AL72" s="71">
        <f>IFERROR(AL87/AL85,)</f>
        <v>2.7423162168817988E-2</v>
      </c>
      <c r="AM72" s="108">
        <f t="shared" si="202"/>
        <v>2.1290715969770228E-2</v>
      </c>
      <c r="AN72" s="71">
        <f>IFERROR(AN87/AN85,)</f>
        <v>0.19998976117951212</v>
      </c>
      <c r="AO72" s="71">
        <f>IFERROR(AO87/AO85,)</f>
        <v>0</v>
      </c>
      <c r="AP72" s="108">
        <f t="shared" si="203"/>
        <v>9.9994880589756058E-2</v>
      </c>
    </row>
    <row r="73" spans="2:42" x14ac:dyDescent="0.2">
      <c r="B73" s="132"/>
      <c r="G73" s="134"/>
      <c r="H73" s="134"/>
      <c r="I73" s="134"/>
      <c r="J73" s="133"/>
      <c r="K73" s="133"/>
      <c r="L73" s="133"/>
    </row>
    <row r="74" spans="2:42" x14ac:dyDescent="0.2">
      <c r="B74" s="132"/>
      <c r="G74" s="120"/>
      <c r="H74" s="120"/>
      <c r="I74" s="120"/>
    </row>
    <row r="75" spans="2:42" ht="14.25" x14ac:dyDescent="0.2">
      <c r="B75" s="87" t="s">
        <v>113</v>
      </c>
      <c r="C75" s="88" t="s">
        <v>90</v>
      </c>
      <c r="D75" s="89">
        <v>12934.5</v>
      </c>
      <c r="E75" s="90">
        <v>10750.7</v>
      </c>
      <c r="F75" s="69">
        <v>23685.200000000001</v>
      </c>
      <c r="G75" s="89">
        <v>57297.3</v>
      </c>
      <c r="H75" s="90">
        <v>52435.332000000002</v>
      </c>
      <c r="I75" s="69">
        <v>109732.63200000001</v>
      </c>
      <c r="J75" s="247">
        <v>4578.6819999999998</v>
      </c>
      <c r="K75" s="248">
        <v>4500.3819999999996</v>
      </c>
      <c r="L75" s="239">
        <v>9079.0639999999985</v>
      </c>
      <c r="M75" s="89">
        <v>24974.1</v>
      </c>
      <c r="N75" s="90">
        <v>22378.948999999997</v>
      </c>
      <c r="O75" s="69">
        <v>47353.048999999999</v>
      </c>
      <c r="P75" s="89">
        <v>7740.7000000000007</v>
      </c>
      <c r="Q75" s="90">
        <v>7649.6</v>
      </c>
      <c r="R75" s="69">
        <v>15390.300000000001</v>
      </c>
      <c r="S75" s="89">
        <v>5103.6000000000004</v>
      </c>
      <c r="T75" s="90">
        <v>5015.2999999999993</v>
      </c>
      <c r="U75" s="109">
        <v>10118.9</v>
      </c>
      <c r="V75" s="89">
        <v>4890.1000000000004</v>
      </c>
      <c r="W75" s="90">
        <v>5592.5620000000008</v>
      </c>
      <c r="X75" s="69">
        <v>10482.662</v>
      </c>
      <c r="Y75" s="89">
        <v>2022.6</v>
      </c>
      <c r="Z75" s="90">
        <v>1248.5</v>
      </c>
      <c r="AA75" s="69">
        <v>3271.1</v>
      </c>
      <c r="AB75" s="89">
        <v>17387.400000000001</v>
      </c>
      <c r="AC75" s="90">
        <v>15246.656999999999</v>
      </c>
      <c r="AD75" s="69">
        <v>32634.057000000001</v>
      </c>
      <c r="AE75" s="89">
        <v>12261.1</v>
      </c>
      <c r="AF75" s="90">
        <v>10061.499999999998</v>
      </c>
      <c r="AG75" s="69">
        <v>22322.6</v>
      </c>
      <c r="AH75" s="89">
        <v>12917.699999999999</v>
      </c>
      <c r="AI75" s="90">
        <v>13416.569000000001</v>
      </c>
      <c r="AJ75" s="69">
        <v>26334.269</v>
      </c>
      <c r="AK75" s="89">
        <v>35973.4</v>
      </c>
      <c r="AL75" s="90">
        <v>30484.240000000002</v>
      </c>
      <c r="AM75" s="69">
        <v>66457.64</v>
      </c>
      <c r="AN75" s="89">
        <v>2651.2</v>
      </c>
      <c r="AO75" s="90">
        <v>2794.7400000000002</v>
      </c>
      <c r="AP75" s="109">
        <v>5445.9400000000005</v>
      </c>
    </row>
    <row r="76" spans="2:42" ht="15" x14ac:dyDescent="0.2">
      <c r="B76" s="73" t="s">
        <v>114</v>
      </c>
      <c r="C76" s="66" t="s">
        <v>90</v>
      </c>
      <c r="D76" s="71">
        <v>0</v>
      </c>
      <c r="E76" s="72">
        <v>0</v>
      </c>
      <c r="F76" s="108">
        <v>0</v>
      </c>
      <c r="G76" s="71">
        <v>57297.3</v>
      </c>
      <c r="H76" s="72">
        <v>52435.332000000002</v>
      </c>
      <c r="I76" s="108">
        <v>109732.63200000001</v>
      </c>
      <c r="J76" s="217">
        <v>0</v>
      </c>
      <c r="K76" s="240">
        <v>0</v>
      </c>
      <c r="L76" s="249">
        <v>0</v>
      </c>
      <c r="M76" s="71">
        <v>24974.1</v>
      </c>
      <c r="N76" s="72">
        <v>22378.948999999997</v>
      </c>
      <c r="O76" s="108">
        <v>47353.048999999999</v>
      </c>
      <c r="P76" s="71">
        <v>0</v>
      </c>
      <c r="Q76" s="72">
        <v>0</v>
      </c>
      <c r="R76" s="108">
        <v>0</v>
      </c>
      <c r="S76" s="71">
        <v>0</v>
      </c>
      <c r="T76" s="72">
        <v>0</v>
      </c>
      <c r="U76" s="108">
        <v>0</v>
      </c>
      <c r="V76" s="71">
        <v>0</v>
      </c>
      <c r="W76" s="72">
        <v>0</v>
      </c>
      <c r="X76" s="108">
        <v>0</v>
      </c>
      <c r="Y76" s="71">
        <v>0</v>
      </c>
      <c r="Z76" s="72">
        <v>0</v>
      </c>
      <c r="AA76" s="108">
        <v>0</v>
      </c>
      <c r="AB76" s="71">
        <v>0</v>
      </c>
      <c r="AC76" s="72">
        <v>0</v>
      </c>
      <c r="AD76" s="108">
        <v>0</v>
      </c>
      <c r="AE76" s="71">
        <v>0</v>
      </c>
      <c r="AF76" s="72">
        <v>0</v>
      </c>
      <c r="AG76" s="108">
        <v>0</v>
      </c>
      <c r="AH76" s="71">
        <v>0</v>
      </c>
      <c r="AI76" s="72">
        <v>0</v>
      </c>
      <c r="AJ76" s="108">
        <v>0</v>
      </c>
      <c r="AK76" s="71">
        <v>35973.4</v>
      </c>
      <c r="AL76" s="72">
        <v>30484.240000000002</v>
      </c>
      <c r="AM76" s="108">
        <v>66457.64</v>
      </c>
      <c r="AN76" s="71">
        <v>0</v>
      </c>
      <c r="AO76" s="72">
        <v>0</v>
      </c>
      <c r="AP76" s="108">
        <v>0</v>
      </c>
    </row>
    <row r="77" spans="2:42" ht="15" x14ac:dyDescent="0.2">
      <c r="B77" s="92" t="s">
        <v>115</v>
      </c>
      <c r="C77" s="63" t="s">
        <v>90</v>
      </c>
      <c r="D77" s="121"/>
      <c r="E77" s="115"/>
      <c r="F77" s="108">
        <v>0</v>
      </c>
      <c r="G77" s="121">
        <v>43599</v>
      </c>
      <c r="H77" s="115">
        <v>42572.446000000004</v>
      </c>
      <c r="I77" s="108">
        <v>86171.445999999996</v>
      </c>
      <c r="J77" s="250"/>
      <c r="K77" s="251"/>
      <c r="L77" s="249">
        <v>0</v>
      </c>
      <c r="M77" s="121">
        <v>4140.6000000000004</v>
      </c>
      <c r="N77" s="115">
        <v>2402.7489999999998</v>
      </c>
      <c r="O77" s="108">
        <v>6543.3490000000002</v>
      </c>
      <c r="P77" s="121"/>
      <c r="Q77" s="115"/>
      <c r="R77" s="108">
        <v>0</v>
      </c>
      <c r="S77" s="121"/>
      <c r="T77" s="115"/>
      <c r="U77" s="108">
        <v>0</v>
      </c>
      <c r="V77" s="121"/>
      <c r="W77" s="115"/>
      <c r="X77" s="108">
        <v>0</v>
      </c>
      <c r="Y77" s="121"/>
      <c r="Z77" s="115"/>
      <c r="AA77" s="108">
        <v>0</v>
      </c>
      <c r="AB77" s="121"/>
      <c r="AC77" s="115"/>
      <c r="AD77" s="108">
        <v>0</v>
      </c>
      <c r="AE77" s="121"/>
      <c r="AF77" s="115"/>
      <c r="AG77" s="108">
        <v>0</v>
      </c>
      <c r="AH77" s="121"/>
      <c r="AI77" s="115"/>
      <c r="AJ77" s="108">
        <v>0</v>
      </c>
      <c r="AK77" s="121">
        <v>20515.400000000001</v>
      </c>
      <c r="AL77" s="115">
        <v>24070.240000000002</v>
      </c>
      <c r="AM77" s="108">
        <v>44585.64</v>
      </c>
      <c r="AN77" s="121"/>
      <c r="AO77" s="115"/>
      <c r="AP77" s="108">
        <v>0</v>
      </c>
    </row>
    <row r="78" spans="2:42" ht="15" x14ac:dyDescent="0.2">
      <c r="B78" s="65" t="s">
        <v>116</v>
      </c>
      <c r="C78" s="66" t="s">
        <v>90</v>
      </c>
      <c r="D78" s="71"/>
      <c r="E78" s="72"/>
      <c r="F78" s="108">
        <v>0</v>
      </c>
      <c r="G78" s="71">
        <v>13698.3</v>
      </c>
      <c r="H78" s="72">
        <v>9862.8860000000004</v>
      </c>
      <c r="I78" s="108">
        <v>23561.186000000002</v>
      </c>
      <c r="J78" s="217"/>
      <c r="K78" s="240"/>
      <c r="L78" s="249">
        <v>0</v>
      </c>
      <c r="M78" s="71">
        <v>20833.5</v>
      </c>
      <c r="N78" s="72">
        <v>19976.199999999997</v>
      </c>
      <c r="O78" s="108">
        <v>40809.699999999997</v>
      </c>
      <c r="P78" s="71"/>
      <c r="Q78" s="72"/>
      <c r="R78" s="108">
        <v>0</v>
      </c>
      <c r="S78" s="71"/>
      <c r="T78" s="72"/>
      <c r="U78" s="108">
        <v>0</v>
      </c>
      <c r="V78" s="71"/>
      <c r="W78" s="72"/>
      <c r="X78" s="108">
        <v>0</v>
      </c>
      <c r="Y78" s="71"/>
      <c r="Z78" s="72"/>
      <c r="AA78" s="108">
        <v>0</v>
      </c>
      <c r="AB78" s="71"/>
      <c r="AC78" s="72"/>
      <c r="AD78" s="108">
        <v>0</v>
      </c>
      <c r="AE78" s="71"/>
      <c r="AF78" s="72"/>
      <c r="AG78" s="108">
        <v>0</v>
      </c>
      <c r="AH78" s="71"/>
      <c r="AI78" s="72"/>
      <c r="AJ78" s="108">
        <v>0</v>
      </c>
      <c r="AK78" s="71">
        <v>15458</v>
      </c>
      <c r="AL78" s="72">
        <v>6414</v>
      </c>
      <c r="AM78" s="108">
        <v>21872</v>
      </c>
      <c r="AN78" s="71"/>
      <c r="AO78" s="72"/>
      <c r="AP78" s="108">
        <v>0</v>
      </c>
    </row>
    <row r="79" spans="2:42" ht="15" x14ac:dyDescent="0.2">
      <c r="B79" s="73" t="s">
        <v>118</v>
      </c>
      <c r="C79" s="66" t="s">
        <v>90</v>
      </c>
      <c r="D79" s="71">
        <v>12934.5</v>
      </c>
      <c r="E79" s="72">
        <v>10750.7</v>
      </c>
      <c r="F79" s="67">
        <v>23685.200000000001</v>
      </c>
      <c r="G79" s="71">
        <v>0</v>
      </c>
      <c r="H79" s="72">
        <v>0</v>
      </c>
      <c r="I79" s="67">
        <v>0</v>
      </c>
      <c r="J79" s="217">
        <v>4578.6819999999998</v>
      </c>
      <c r="K79" s="240">
        <v>4500.3819999999996</v>
      </c>
      <c r="L79" s="241">
        <v>9079.0639999999985</v>
      </c>
      <c r="M79" s="71">
        <v>0</v>
      </c>
      <c r="N79" s="72">
        <v>0</v>
      </c>
      <c r="O79" s="67">
        <v>0</v>
      </c>
      <c r="P79" s="71">
        <v>7740.7000000000007</v>
      </c>
      <c r="Q79" s="72">
        <v>7649.6</v>
      </c>
      <c r="R79" s="67">
        <v>15390.300000000001</v>
      </c>
      <c r="S79" s="71">
        <v>5103.6000000000004</v>
      </c>
      <c r="T79" s="72">
        <v>5015.2999999999993</v>
      </c>
      <c r="U79" s="108">
        <v>10118.9</v>
      </c>
      <c r="V79" s="71">
        <v>4890.1000000000004</v>
      </c>
      <c r="W79" s="72">
        <v>5592.5620000000008</v>
      </c>
      <c r="X79" s="67">
        <v>10482.662</v>
      </c>
      <c r="Y79" s="71">
        <v>2022.6</v>
      </c>
      <c r="Z79" s="72">
        <v>1248.5</v>
      </c>
      <c r="AA79" s="67">
        <v>3271.1</v>
      </c>
      <c r="AB79" s="71">
        <v>17387.400000000001</v>
      </c>
      <c r="AC79" s="72">
        <v>15246.656999999999</v>
      </c>
      <c r="AD79" s="67">
        <v>32634.057000000001</v>
      </c>
      <c r="AE79" s="71">
        <v>12261.1</v>
      </c>
      <c r="AF79" s="72">
        <v>10061.499999999998</v>
      </c>
      <c r="AG79" s="67">
        <v>22322.6</v>
      </c>
      <c r="AH79" s="71">
        <v>12917.699999999999</v>
      </c>
      <c r="AI79" s="72">
        <v>13416.569000000001</v>
      </c>
      <c r="AJ79" s="67">
        <v>26334.269</v>
      </c>
      <c r="AK79" s="71">
        <v>0</v>
      </c>
      <c r="AL79" s="72">
        <v>0</v>
      </c>
      <c r="AM79" s="67">
        <v>0</v>
      </c>
      <c r="AN79" s="71">
        <v>2651.2</v>
      </c>
      <c r="AO79" s="72">
        <v>2794.7400000000002</v>
      </c>
      <c r="AP79" s="108">
        <v>5445.9400000000005</v>
      </c>
    </row>
    <row r="80" spans="2:42" ht="15" x14ac:dyDescent="0.2">
      <c r="B80" s="65" t="s">
        <v>115</v>
      </c>
      <c r="C80" s="66" t="s">
        <v>90</v>
      </c>
      <c r="D80" s="71">
        <v>5814.4</v>
      </c>
      <c r="E80" s="72">
        <v>4860.8000000000011</v>
      </c>
      <c r="F80" s="67">
        <v>10675.2</v>
      </c>
      <c r="G80" s="71"/>
      <c r="H80" s="72"/>
      <c r="I80" s="67">
        <v>0</v>
      </c>
      <c r="J80" s="217">
        <v>816.39700000000005</v>
      </c>
      <c r="K80" s="240">
        <v>1059.1959999999999</v>
      </c>
      <c r="L80" s="241">
        <v>1875.5929999999998</v>
      </c>
      <c r="M80" s="71"/>
      <c r="N80" s="72"/>
      <c r="O80" s="67">
        <v>0</v>
      </c>
      <c r="P80" s="71">
        <v>5089.3</v>
      </c>
      <c r="Q80" s="72">
        <v>5424.2</v>
      </c>
      <c r="R80" s="67">
        <v>10513.5</v>
      </c>
      <c r="S80" s="71">
        <v>3613.6</v>
      </c>
      <c r="T80" s="72">
        <v>3534.9999999999995</v>
      </c>
      <c r="U80" s="108">
        <v>7148.5999999999995</v>
      </c>
      <c r="V80" s="71">
        <v>3072</v>
      </c>
      <c r="W80" s="72">
        <v>3948.4000000000005</v>
      </c>
      <c r="X80" s="67">
        <v>7020.4000000000005</v>
      </c>
      <c r="Y80" s="71">
        <v>1025.7</v>
      </c>
      <c r="Z80" s="72">
        <v>308.39999999999986</v>
      </c>
      <c r="AA80" s="67">
        <v>1334.1</v>
      </c>
      <c r="AB80" s="71">
        <v>10355.5</v>
      </c>
      <c r="AC80" s="72">
        <v>11791.3</v>
      </c>
      <c r="AD80" s="67">
        <v>22146.799999999999</v>
      </c>
      <c r="AE80" s="71">
        <v>7217.3</v>
      </c>
      <c r="AF80" s="72">
        <v>5716.199999999998</v>
      </c>
      <c r="AG80" s="67">
        <v>12933.499999999998</v>
      </c>
      <c r="AH80" s="71">
        <v>762.3</v>
      </c>
      <c r="AI80" s="72">
        <v>1260.269</v>
      </c>
      <c r="AJ80" s="67">
        <v>2022.569</v>
      </c>
      <c r="AK80" s="71"/>
      <c r="AL80" s="72"/>
      <c r="AM80" s="67">
        <v>0</v>
      </c>
      <c r="AN80" s="71">
        <v>520.70000000000005</v>
      </c>
      <c r="AO80" s="72">
        <v>956.93999999999994</v>
      </c>
      <c r="AP80" s="108">
        <v>1477.6399999999999</v>
      </c>
    </row>
    <row r="81" spans="2:42" ht="15" x14ac:dyDescent="0.2">
      <c r="B81" s="65" t="s">
        <v>116</v>
      </c>
      <c r="C81" s="66" t="s">
        <v>90</v>
      </c>
      <c r="D81" s="71">
        <v>7120.1</v>
      </c>
      <c r="E81" s="72">
        <v>5889.9</v>
      </c>
      <c r="F81" s="67">
        <v>13010</v>
      </c>
      <c r="G81" s="71"/>
      <c r="H81" s="72"/>
      <c r="I81" s="67">
        <v>0</v>
      </c>
      <c r="J81" s="217">
        <v>3762.2849999999999</v>
      </c>
      <c r="K81" s="240">
        <v>3441.1860000000001</v>
      </c>
      <c r="L81" s="241">
        <v>7203.4709999999995</v>
      </c>
      <c r="M81" s="71"/>
      <c r="N81" s="72"/>
      <c r="O81" s="67">
        <v>0</v>
      </c>
      <c r="P81" s="71">
        <v>2651.4</v>
      </c>
      <c r="Q81" s="72">
        <v>2225.4</v>
      </c>
      <c r="R81" s="67">
        <v>4876.8</v>
      </c>
      <c r="S81" s="71">
        <v>1490</v>
      </c>
      <c r="T81" s="72">
        <v>1480.3000000000002</v>
      </c>
      <c r="U81" s="108">
        <v>2970.3</v>
      </c>
      <c r="V81" s="71">
        <v>1818.1</v>
      </c>
      <c r="W81" s="72">
        <v>1644.162</v>
      </c>
      <c r="X81" s="67">
        <v>3462.2619999999997</v>
      </c>
      <c r="Y81" s="71">
        <v>996.9</v>
      </c>
      <c r="Z81" s="72">
        <v>940.1</v>
      </c>
      <c r="AA81" s="67">
        <v>1937</v>
      </c>
      <c r="AB81" s="71">
        <v>7031.9</v>
      </c>
      <c r="AC81" s="72">
        <v>3455.357</v>
      </c>
      <c r="AD81" s="67">
        <v>10487.257</v>
      </c>
      <c r="AE81" s="71">
        <v>5043.8</v>
      </c>
      <c r="AF81" s="72">
        <v>4345.3</v>
      </c>
      <c r="AG81" s="67">
        <v>9389.1</v>
      </c>
      <c r="AH81" s="71">
        <v>12155.4</v>
      </c>
      <c r="AI81" s="72">
        <v>12156.300000000001</v>
      </c>
      <c r="AJ81" s="67">
        <v>24311.7</v>
      </c>
      <c r="AK81" s="71"/>
      <c r="AL81" s="72"/>
      <c r="AM81" s="67">
        <v>0</v>
      </c>
      <c r="AN81" s="71">
        <v>2130.5</v>
      </c>
      <c r="AO81" s="72">
        <v>1837.8000000000002</v>
      </c>
      <c r="AP81" s="108">
        <v>3968.3</v>
      </c>
    </row>
    <row r="82" spans="2:42" ht="14.25" x14ac:dyDescent="0.2">
      <c r="B82" s="93" t="s">
        <v>120</v>
      </c>
      <c r="C82" s="88" t="s">
        <v>90</v>
      </c>
      <c r="D82" s="89">
        <v>930.7</v>
      </c>
      <c r="E82" s="90">
        <v>1054.114</v>
      </c>
      <c r="F82" s="69">
        <v>1984.8140000000001</v>
      </c>
      <c r="G82" s="89">
        <v>5339.643</v>
      </c>
      <c r="H82" s="90">
        <v>4870.5789999999997</v>
      </c>
      <c r="I82" s="69">
        <v>10210.222</v>
      </c>
      <c r="J82" s="247">
        <v>467.14499999999998</v>
      </c>
      <c r="K82" s="248">
        <v>272.16800000000001</v>
      </c>
      <c r="L82" s="239">
        <v>739.3130000000001</v>
      </c>
      <c r="M82" s="89">
        <v>4399.0140000000001</v>
      </c>
      <c r="N82" s="90">
        <v>3110.4539999999997</v>
      </c>
      <c r="O82" s="69">
        <v>7509.4679999999998</v>
      </c>
      <c r="P82" s="89">
        <v>623.79999999999995</v>
      </c>
      <c r="Q82" s="90">
        <v>476.49200000000002</v>
      </c>
      <c r="R82" s="69">
        <v>1100.2919999999999</v>
      </c>
      <c r="S82" s="89">
        <v>230.4</v>
      </c>
      <c r="T82" s="90">
        <v>181.14700000000002</v>
      </c>
      <c r="U82" s="109">
        <v>411.54700000000003</v>
      </c>
      <c r="V82" s="89">
        <v>369.99099999999999</v>
      </c>
      <c r="W82" s="90">
        <v>450.93400000000003</v>
      </c>
      <c r="X82" s="69">
        <v>820.92499999999995</v>
      </c>
      <c r="Y82" s="89">
        <v>113.6</v>
      </c>
      <c r="Z82" s="90">
        <v>106.45399999999999</v>
      </c>
      <c r="AA82" s="69">
        <v>220.054</v>
      </c>
      <c r="AB82" s="89">
        <v>1495.1509999999998</v>
      </c>
      <c r="AC82" s="90">
        <v>1322.568</v>
      </c>
      <c r="AD82" s="69">
        <v>2817.7190000000001</v>
      </c>
      <c r="AE82" s="89">
        <v>1722.9</v>
      </c>
      <c r="AF82" s="90">
        <v>1290.4670000000001</v>
      </c>
      <c r="AG82" s="69">
        <v>3013.3670000000002</v>
      </c>
      <c r="AH82" s="89">
        <v>457.32100000000003</v>
      </c>
      <c r="AI82" s="90">
        <v>459.67599999999999</v>
      </c>
      <c r="AJ82" s="69">
        <v>916.99700000000007</v>
      </c>
      <c r="AK82" s="89">
        <v>5319.2520000000004</v>
      </c>
      <c r="AL82" s="90">
        <v>4033.4059999999999</v>
      </c>
      <c r="AM82" s="69">
        <v>9352.6579999999994</v>
      </c>
      <c r="AN82" s="89">
        <v>3.4809999999999999</v>
      </c>
      <c r="AO82" s="90">
        <v>3.9590000000000001</v>
      </c>
      <c r="AP82" s="109">
        <v>7.4399999999999995</v>
      </c>
    </row>
    <row r="83" spans="2:42" ht="15" x14ac:dyDescent="0.2">
      <c r="B83" s="95" t="s">
        <v>115</v>
      </c>
      <c r="C83" s="74" t="s">
        <v>90</v>
      </c>
      <c r="D83" s="122">
        <v>930.7</v>
      </c>
      <c r="E83" s="123">
        <v>1054.114</v>
      </c>
      <c r="F83" s="96">
        <v>1984.8140000000001</v>
      </c>
      <c r="G83" s="122">
        <v>4501.4830000000002</v>
      </c>
      <c r="H83" s="123">
        <v>4193.991</v>
      </c>
      <c r="I83" s="96">
        <v>8695.4740000000002</v>
      </c>
      <c r="J83" s="243">
        <v>459.02600000000001</v>
      </c>
      <c r="K83" s="244">
        <v>264.04899999999998</v>
      </c>
      <c r="L83" s="252">
        <v>723.07500000000005</v>
      </c>
      <c r="M83" s="122">
        <v>4332.7489999999998</v>
      </c>
      <c r="N83" s="123">
        <v>3044.1889999999999</v>
      </c>
      <c r="O83" s="96">
        <v>7376.9380000000001</v>
      </c>
      <c r="P83" s="122">
        <v>526</v>
      </c>
      <c r="Q83" s="123">
        <v>378.69200000000001</v>
      </c>
      <c r="R83" s="96">
        <v>904.69200000000001</v>
      </c>
      <c r="S83" s="122">
        <v>230.4</v>
      </c>
      <c r="T83" s="123">
        <v>181.14700000000002</v>
      </c>
      <c r="U83" s="111">
        <v>411.54700000000003</v>
      </c>
      <c r="V83" s="122">
        <v>369.99099999999999</v>
      </c>
      <c r="W83" s="123">
        <v>450.93400000000003</v>
      </c>
      <c r="X83" s="96">
        <v>820.92499999999995</v>
      </c>
      <c r="Y83" s="122">
        <v>110.3</v>
      </c>
      <c r="Z83" s="123">
        <v>103.45399999999999</v>
      </c>
      <c r="AA83" s="96">
        <v>213.75399999999999</v>
      </c>
      <c r="AB83" s="122">
        <v>1480.2159999999999</v>
      </c>
      <c r="AC83" s="123">
        <v>1307.5170000000001</v>
      </c>
      <c r="AD83" s="96">
        <v>2787.7330000000002</v>
      </c>
      <c r="AE83" s="122">
        <v>1720.5</v>
      </c>
      <c r="AF83" s="123">
        <v>1288.067</v>
      </c>
      <c r="AG83" s="96">
        <v>3008.567</v>
      </c>
      <c r="AH83" s="122">
        <v>454.024</v>
      </c>
      <c r="AI83" s="123">
        <v>457.512</v>
      </c>
      <c r="AJ83" s="96">
        <v>911.53600000000006</v>
      </c>
      <c r="AK83" s="122">
        <v>5318.1040000000003</v>
      </c>
      <c r="AL83" s="123">
        <v>4032.8319999999999</v>
      </c>
      <c r="AM83" s="96">
        <v>9350.9359999999997</v>
      </c>
      <c r="AN83" s="122">
        <v>3.4809999999999999</v>
      </c>
      <c r="AO83" s="123">
        <v>3.9590000000000001</v>
      </c>
      <c r="AP83" s="111">
        <v>7.4399999999999995</v>
      </c>
    </row>
    <row r="84" spans="2:42" ht="15" x14ac:dyDescent="0.2">
      <c r="B84" s="97" t="s">
        <v>121</v>
      </c>
      <c r="C84" s="66" t="s">
        <v>90</v>
      </c>
      <c r="D84" s="71"/>
      <c r="E84" s="72"/>
      <c r="F84" s="67">
        <v>0</v>
      </c>
      <c r="G84" s="71">
        <v>838.16</v>
      </c>
      <c r="H84" s="72">
        <v>676.58799999999997</v>
      </c>
      <c r="I84" s="67">
        <v>1514.748</v>
      </c>
      <c r="J84" s="217">
        <v>8.1189999999999998</v>
      </c>
      <c r="K84" s="240">
        <v>8.1189999999999998</v>
      </c>
      <c r="L84" s="241">
        <v>16.238</v>
      </c>
      <c r="M84" s="71">
        <v>66.265000000000001</v>
      </c>
      <c r="N84" s="72">
        <v>66.265000000000001</v>
      </c>
      <c r="O84" s="67">
        <v>132.53</v>
      </c>
      <c r="P84" s="71">
        <v>97.8</v>
      </c>
      <c r="Q84" s="72">
        <v>97.8</v>
      </c>
      <c r="R84" s="67">
        <v>195.6</v>
      </c>
      <c r="S84" s="71"/>
      <c r="T84" s="72"/>
      <c r="U84" s="108">
        <v>0</v>
      </c>
      <c r="V84" s="71"/>
      <c r="W84" s="72"/>
      <c r="X84" s="67">
        <v>0</v>
      </c>
      <c r="Y84" s="122">
        <v>3.3</v>
      </c>
      <c r="Z84" s="123">
        <v>3</v>
      </c>
      <c r="AA84" s="67">
        <v>6.3</v>
      </c>
      <c r="AB84" s="71">
        <v>14.935</v>
      </c>
      <c r="AC84" s="72">
        <v>15.051</v>
      </c>
      <c r="AD84" s="67">
        <v>29.986000000000001</v>
      </c>
      <c r="AE84" s="71">
        <v>2.4</v>
      </c>
      <c r="AF84" s="72">
        <v>2.4</v>
      </c>
      <c r="AG84" s="67">
        <v>4.8</v>
      </c>
      <c r="AH84" s="71">
        <v>3.2970000000000002</v>
      </c>
      <c r="AI84" s="72">
        <v>2.1640000000000001</v>
      </c>
      <c r="AJ84" s="67">
        <v>5.4610000000000003</v>
      </c>
      <c r="AK84" s="71">
        <v>1.1479999999999999</v>
      </c>
      <c r="AL84" s="72">
        <v>0.57399999999999995</v>
      </c>
      <c r="AM84" s="67">
        <v>1.722</v>
      </c>
      <c r="AN84" s="71"/>
      <c r="AO84" s="72"/>
      <c r="AP84" s="108">
        <v>0</v>
      </c>
    </row>
    <row r="85" spans="2:42" ht="14.25" x14ac:dyDescent="0.2">
      <c r="B85" s="99" t="s">
        <v>0</v>
      </c>
      <c r="C85" s="77" t="s">
        <v>90</v>
      </c>
      <c r="D85" s="78">
        <v>275.39999999999998</v>
      </c>
      <c r="E85" s="79">
        <v>750.15899999999999</v>
      </c>
      <c r="F85" s="100">
        <v>1025.559</v>
      </c>
      <c r="G85" s="78">
        <v>15187.999</v>
      </c>
      <c r="H85" s="79">
        <v>17388.937999999998</v>
      </c>
      <c r="I85" s="100">
        <v>32576.936999999998</v>
      </c>
      <c r="J85" s="245">
        <v>164.54</v>
      </c>
      <c r="K85" s="246">
        <v>160.48000000000002</v>
      </c>
      <c r="L85" s="253">
        <v>325.02</v>
      </c>
      <c r="M85" s="78">
        <v>947.63099999999997</v>
      </c>
      <c r="N85" s="79">
        <v>936.17700000000002</v>
      </c>
      <c r="O85" s="100">
        <v>1883.808</v>
      </c>
      <c r="P85" s="78">
        <v>275.39999999999998</v>
      </c>
      <c r="Q85" s="79">
        <v>365.49</v>
      </c>
      <c r="R85" s="100">
        <v>640.89</v>
      </c>
      <c r="S85" s="78">
        <v>174.1</v>
      </c>
      <c r="T85" s="79">
        <v>185.84000000000003</v>
      </c>
      <c r="U85" s="112">
        <v>359.94000000000005</v>
      </c>
      <c r="V85" s="78">
        <v>378.02699999999999</v>
      </c>
      <c r="W85" s="79">
        <v>402.24199999999996</v>
      </c>
      <c r="X85" s="100">
        <v>780.26899999999989</v>
      </c>
      <c r="Y85" s="78">
        <v>55.3</v>
      </c>
      <c r="Z85" s="79">
        <v>74.319000000000003</v>
      </c>
      <c r="AA85" s="100">
        <v>129.619</v>
      </c>
      <c r="AB85" s="78">
        <v>842.37400000000002</v>
      </c>
      <c r="AC85" s="79">
        <v>991.71400000000006</v>
      </c>
      <c r="AD85" s="100">
        <v>1834.088</v>
      </c>
      <c r="AE85" s="78">
        <v>123.5</v>
      </c>
      <c r="AF85" s="79">
        <v>117.71186000000002</v>
      </c>
      <c r="AG85" s="100">
        <v>241.21186</v>
      </c>
      <c r="AH85" s="78">
        <v>58.588999999999999</v>
      </c>
      <c r="AI85" s="79">
        <v>72.611000000000004</v>
      </c>
      <c r="AJ85" s="100">
        <v>131.19999999999999</v>
      </c>
      <c r="AK85" s="78">
        <v>1105.865</v>
      </c>
      <c r="AL85" s="79">
        <v>1664.87</v>
      </c>
      <c r="AM85" s="100">
        <v>2770.7349999999997</v>
      </c>
      <c r="AN85" s="78">
        <v>39.067</v>
      </c>
      <c r="AO85" s="79">
        <v>46.366</v>
      </c>
      <c r="AP85" s="112">
        <v>85.433000000000007</v>
      </c>
    </row>
    <row r="86" spans="2:42" ht="15" x14ac:dyDescent="0.2">
      <c r="B86" s="65" t="s">
        <v>115</v>
      </c>
      <c r="C86" s="66" t="s">
        <v>90</v>
      </c>
      <c r="D86" s="71">
        <v>275.39999999999998</v>
      </c>
      <c r="E86" s="72">
        <v>750.15899999999999</v>
      </c>
      <c r="F86" s="91">
        <v>1025.559</v>
      </c>
      <c r="G86" s="71">
        <v>15066.713</v>
      </c>
      <c r="H86" s="72">
        <v>17250.266</v>
      </c>
      <c r="I86" s="91">
        <v>32316.978999999999</v>
      </c>
      <c r="J86" s="217">
        <v>54.110999999999997</v>
      </c>
      <c r="K86" s="240">
        <v>50.05</v>
      </c>
      <c r="L86" s="254">
        <v>104.161</v>
      </c>
      <c r="M86" s="71">
        <v>627.24699999999996</v>
      </c>
      <c r="N86" s="72">
        <v>481.85700000000003</v>
      </c>
      <c r="O86" s="91">
        <v>1109.104</v>
      </c>
      <c r="P86" s="71">
        <v>106.8</v>
      </c>
      <c r="Q86" s="72">
        <v>116.89</v>
      </c>
      <c r="R86" s="91">
        <v>223.69</v>
      </c>
      <c r="S86" s="71">
        <v>15.9</v>
      </c>
      <c r="T86" s="72">
        <v>29.44</v>
      </c>
      <c r="U86" s="108">
        <v>45.34</v>
      </c>
      <c r="V86" s="71">
        <v>371.62599999999998</v>
      </c>
      <c r="W86" s="72">
        <v>394.92599999999999</v>
      </c>
      <c r="X86" s="91">
        <v>766.55199999999991</v>
      </c>
      <c r="Y86" s="71">
        <v>53.8</v>
      </c>
      <c r="Z86" s="72">
        <v>72.819000000000003</v>
      </c>
      <c r="AA86" s="91">
        <v>126.619</v>
      </c>
      <c r="AB86" s="71">
        <v>804.40499999999997</v>
      </c>
      <c r="AC86" s="72">
        <v>956.33100000000002</v>
      </c>
      <c r="AD86" s="91">
        <v>1760.7359999999999</v>
      </c>
      <c r="AE86" s="71">
        <v>82.2</v>
      </c>
      <c r="AF86" s="72">
        <v>106.31186000000001</v>
      </c>
      <c r="AG86" s="91">
        <v>188.51186000000001</v>
      </c>
      <c r="AH86" s="71">
        <v>58.588999999999999</v>
      </c>
      <c r="AI86" s="72">
        <v>72.611000000000004</v>
      </c>
      <c r="AJ86" s="91">
        <v>131.19999999999999</v>
      </c>
      <c r="AK86" s="71">
        <v>1089.1020000000001</v>
      </c>
      <c r="AL86" s="72">
        <v>1619.2139999999999</v>
      </c>
      <c r="AM86" s="91">
        <v>2708.3159999999998</v>
      </c>
      <c r="AN86" s="71">
        <v>31.254000000000001</v>
      </c>
      <c r="AO86" s="72">
        <v>46.366</v>
      </c>
      <c r="AP86" s="110">
        <v>77.62</v>
      </c>
    </row>
    <row r="87" spans="2:42" ht="15" x14ac:dyDescent="0.2">
      <c r="B87" s="102" t="s">
        <v>123</v>
      </c>
      <c r="C87" s="103" t="s">
        <v>90</v>
      </c>
      <c r="D87" s="124"/>
      <c r="E87" s="125"/>
      <c r="F87" s="104">
        <v>0</v>
      </c>
      <c r="G87" s="124">
        <v>121.286</v>
      </c>
      <c r="H87" s="125">
        <v>138.672</v>
      </c>
      <c r="I87" s="104">
        <v>259.95799999999997</v>
      </c>
      <c r="J87" s="255">
        <v>110.429</v>
      </c>
      <c r="K87" s="256">
        <v>110.43</v>
      </c>
      <c r="L87" s="257">
        <v>220.85900000000001</v>
      </c>
      <c r="M87" s="124">
        <v>320.38400000000001</v>
      </c>
      <c r="N87" s="125">
        <v>454.32</v>
      </c>
      <c r="O87" s="104">
        <v>774.70399999999995</v>
      </c>
      <c r="P87" s="124">
        <v>168.6</v>
      </c>
      <c r="Q87" s="125">
        <v>248.6</v>
      </c>
      <c r="R87" s="104">
        <v>417.2</v>
      </c>
      <c r="S87" s="124">
        <v>158.19999999999999</v>
      </c>
      <c r="T87" s="125">
        <v>156.40000000000003</v>
      </c>
      <c r="U87" s="104">
        <v>314.60000000000002</v>
      </c>
      <c r="V87" s="124">
        <v>6.4009999999999998</v>
      </c>
      <c r="W87" s="125">
        <v>7.3159999999999998</v>
      </c>
      <c r="X87" s="104">
        <v>13.716999999999999</v>
      </c>
      <c r="Y87" s="124">
        <v>1.5</v>
      </c>
      <c r="Z87" s="125">
        <v>1.5</v>
      </c>
      <c r="AA87" s="104">
        <v>3</v>
      </c>
      <c r="AB87" s="124">
        <v>37.969000000000001</v>
      </c>
      <c r="AC87" s="125">
        <v>35.383000000000003</v>
      </c>
      <c r="AD87" s="104">
        <v>73.352000000000004</v>
      </c>
      <c r="AE87" s="124">
        <v>41.3</v>
      </c>
      <c r="AF87" s="125">
        <v>11.400000000000006</v>
      </c>
      <c r="AG87" s="104">
        <v>52.7</v>
      </c>
      <c r="AH87" s="124"/>
      <c r="AI87" s="125"/>
      <c r="AJ87" s="104">
        <v>0</v>
      </c>
      <c r="AK87" s="124">
        <v>16.763000000000002</v>
      </c>
      <c r="AL87" s="125">
        <v>45.655999999999999</v>
      </c>
      <c r="AM87" s="104">
        <v>62.418999999999997</v>
      </c>
      <c r="AN87" s="124">
        <v>7.8129999999999997</v>
      </c>
      <c r="AO87" s="125"/>
      <c r="AP87" s="113">
        <v>7.8129999999999997</v>
      </c>
    </row>
  </sheetData>
  <mergeCells count="44">
    <mergeCell ref="Y3:AA3"/>
    <mergeCell ref="A1:U1"/>
    <mergeCell ref="A2:A6"/>
    <mergeCell ref="B2:B6"/>
    <mergeCell ref="C2:C6"/>
    <mergeCell ref="D2:AP2"/>
    <mergeCell ref="D3:F3"/>
    <mergeCell ref="G3:I3"/>
    <mergeCell ref="J3:L3"/>
    <mergeCell ref="M3:O3"/>
    <mergeCell ref="P3:R3"/>
    <mergeCell ref="AK3:AM3"/>
    <mergeCell ref="AN3:AP3"/>
    <mergeCell ref="D4:F4"/>
    <mergeCell ref="G4:I4"/>
    <mergeCell ref="AB3:AD3"/>
    <mergeCell ref="AE3:AG3"/>
    <mergeCell ref="AH3:AJ3"/>
    <mergeCell ref="AB4:AD4"/>
    <mergeCell ref="AE4:AG4"/>
    <mergeCell ref="AH4:AJ4"/>
    <mergeCell ref="J4:L4"/>
    <mergeCell ref="M4:O4"/>
    <mergeCell ref="V3:X3"/>
    <mergeCell ref="D5:F5"/>
    <mergeCell ref="G5:I5"/>
    <mergeCell ref="J5:L5"/>
    <mergeCell ref="M5:O5"/>
    <mergeCell ref="P5:R5"/>
    <mergeCell ref="P4:R4"/>
    <mergeCell ref="S4:U4"/>
    <mergeCell ref="V4:X4"/>
    <mergeCell ref="S3:U3"/>
    <mergeCell ref="AK4:AM4"/>
    <mergeCell ref="AN4:AP4"/>
    <mergeCell ref="AK5:AM5"/>
    <mergeCell ref="AN5:AP5"/>
    <mergeCell ref="S5:U5"/>
    <mergeCell ref="V5:X5"/>
    <mergeCell ref="Y5:AA5"/>
    <mergeCell ref="AB5:AD5"/>
    <mergeCell ref="AE5:AG5"/>
    <mergeCell ref="AH5:AJ5"/>
    <mergeCell ref="Y4:AA4"/>
  </mergeCells>
  <printOptions horizontalCentered="1"/>
  <pageMargins left="0.39370078740157483" right="0.39370078740157483" top="1.1811023622047245" bottom="0.39370078740157483" header="0.31496062992125984" footer="0.31496062992125984"/>
  <pageSetup paperSize="9" scale="43" fitToWidth="2" orientation="landscape" blackAndWhite="1" r:id="rId1"/>
  <colBreaks count="1" manualBreakCount="1">
    <brk id="2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P47"/>
  <sheetViews>
    <sheetView view="pageBreakPreview" zoomScaleNormal="100" zoomScaleSheetLayoutView="100" workbookViewId="0">
      <pane xSplit="3" ySplit="7" topLeftCell="Z11" activePane="bottomRight" state="frozen"/>
      <selection activeCell="A17" sqref="A17"/>
      <selection pane="topRight" activeCell="A17" sqref="A17"/>
      <selection pane="bottomLeft" activeCell="A17" sqref="A17"/>
      <selection pane="bottomRight" activeCell="J29" sqref="J29"/>
    </sheetView>
  </sheetViews>
  <sheetFormatPr defaultColWidth="9.140625" defaultRowHeight="12.75" x14ac:dyDescent="0.2"/>
  <cols>
    <col min="1" max="1" width="5.140625" style="105" bestFit="1" customWidth="1"/>
    <col min="2" max="2" width="42.28515625" style="105" bestFit="1" customWidth="1"/>
    <col min="3" max="3" width="12.28515625" style="105" customWidth="1"/>
    <col min="4" max="5" width="11.5703125" style="105" customWidth="1"/>
    <col min="6" max="6" width="11.28515625" style="105" bestFit="1" customWidth="1"/>
    <col min="7" max="8" width="11.5703125" style="105" customWidth="1"/>
    <col min="9" max="9" width="12.42578125" style="105" bestFit="1" customWidth="1"/>
    <col min="10" max="11" width="11.5703125" style="105" bestFit="1" customWidth="1"/>
    <col min="12" max="12" width="11.28515625" style="105" bestFit="1" customWidth="1"/>
    <col min="13" max="14" width="11.5703125" style="105" bestFit="1" customWidth="1"/>
    <col min="15" max="15" width="12.42578125" style="105" customWidth="1"/>
    <col min="16" max="17" width="11.5703125" style="105" bestFit="1" customWidth="1"/>
    <col min="18" max="18" width="11.28515625" style="105" bestFit="1" customWidth="1"/>
    <col min="19" max="20" width="11.5703125" style="105" bestFit="1" customWidth="1"/>
    <col min="21" max="21" width="11.28515625" style="105" bestFit="1" customWidth="1"/>
    <col min="22" max="23" width="11.5703125" style="105" bestFit="1" customWidth="1"/>
    <col min="24" max="24" width="11.28515625" style="105" bestFit="1" customWidth="1"/>
    <col min="25" max="26" width="11.5703125" style="105" bestFit="1" customWidth="1"/>
    <col min="27" max="27" width="10.42578125" style="105" bestFit="1" customWidth="1"/>
    <col min="28" max="29" width="11.5703125" style="105" bestFit="1" customWidth="1"/>
    <col min="30" max="30" width="11.28515625" style="105" bestFit="1" customWidth="1"/>
    <col min="31" max="32" width="11.5703125" style="105" bestFit="1" customWidth="1"/>
    <col min="33" max="33" width="11.28515625" style="105" bestFit="1" customWidth="1"/>
    <col min="34" max="35" width="11.5703125" style="105" bestFit="1" customWidth="1"/>
    <col min="36" max="36" width="11.28515625" style="105" bestFit="1" customWidth="1"/>
    <col min="37" max="38" width="11.5703125" style="105" bestFit="1" customWidth="1"/>
    <col min="39" max="39" width="12.42578125" style="105" bestFit="1" customWidth="1"/>
    <col min="40" max="41" width="11.5703125" style="105" bestFit="1" customWidth="1"/>
    <col min="42" max="42" width="11.28515625" style="105" bestFit="1" customWidth="1"/>
    <col min="43" max="16384" width="9.140625" style="105"/>
  </cols>
  <sheetData>
    <row r="1" spans="1:42" s="47" customFormat="1" ht="18.75" x14ac:dyDescent="0.3">
      <c r="A1" s="445" t="s">
        <v>83</v>
      </c>
      <c r="B1" s="445"/>
      <c r="C1" s="445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</row>
    <row r="2" spans="1:42" s="47" customFormat="1" ht="18.75" x14ac:dyDescent="0.3">
      <c r="A2" s="447" t="s">
        <v>84</v>
      </c>
      <c r="B2" s="450" t="s">
        <v>85</v>
      </c>
      <c r="C2" s="450" t="s">
        <v>30</v>
      </c>
      <c r="D2" s="443" t="s">
        <v>206</v>
      </c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443"/>
      <c r="AO2" s="443"/>
      <c r="AP2" s="444"/>
    </row>
    <row r="3" spans="1:42" s="48" customFormat="1" ht="14.25" customHeight="1" x14ac:dyDescent="0.2">
      <c r="A3" s="448"/>
      <c r="B3" s="450"/>
      <c r="C3" s="450"/>
      <c r="D3" s="423" t="s">
        <v>125</v>
      </c>
      <c r="E3" s="424"/>
      <c r="F3" s="425"/>
      <c r="G3" s="423" t="s">
        <v>124</v>
      </c>
      <c r="H3" s="424"/>
      <c r="I3" s="425"/>
      <c r="J3" s="429" t="s">
        <v>126</v>
      </c>
      <c r="K3" s="430"/>
      <c r="L3" s="431"/>
      <c r="M3" s="432" t="s">
        <v>127</v>
      </c>
      <c r="N3" s="433"/>
      <c r="O3" s="434"/>
      <c r="P3" s="435" t="s">
        <v>128</v>
      </c>
      <c r="Q3" s="436"/>
      <c r="R3" s="437"/>
      <c r="S3" s="420" t="s">
        <v>129</v>
      </c>
      <c r="T3" s="421"/>
      <c r="U3" s="422"/>
      <c r="V3" s="420" t="s">
        <v>130</v>
      </c>
      <c r="W3" s="421"/>
      <c r="X3" s="422"/>
      <c r="Y3" s="420" t="s">
        <v>131</v>
      </c>
      <c r="Z3" s="421"/>
      <c r="AA3" s="422"/>
      <c r="AB3" s="420" t="s">
        <v>132</v>
      </c>
      <c r="AC3" s="421"/>
      <c r="AD3" s="422"/>
      <c r="AE3" s="420" t="s">
        <v>133</v>
      </c>
      <c r="AF3" s="421"/>
      <c r="AG3" s="422"/>
      <c r="AH3" s="420" t="s">
        <v>134</v>
      </c>
      <c r="AI3" s="421"/>
      <c r="AJ3" s="422"/>
      <c r="AK3" s="420" t="s">
        <v>135</v>
      </c>
      <c r="AL3" s="421"/>
      <c r="AM3" s="422"/>
      <c r="AN3" s="420" t="s">
        <v>136</v>
      </c>
      <c r="AO3" s="421"/>
      <c r="AP3" s="422"/>
    </row>
    <row r="4" spans="1:42" s="48" customFormat="1" ht="15" customHeight="1" x14ac:dyDescent="0.2">
      <c r="A4" s="448"/>
      <c r="B4" s="450"/>
      <c r="C4" s="450"/>
      <c r="D4" s="477" t="s">
        <v>156</v>
      </c>
      <c r="E4" s="451"/>
      <c r="F4" s="452"/>
      <c r="G4" s="477" t="s">
        <v>156</v>
      </c>
      <c r="H4" s="451"/>
      <c r="I4" s="452"/>
      <c r="J4" s="455" t="s">
        <v>156</v>
      </c>
      <c r="K4" s="455"/>
      <c r="L4" s="456"/>
      <c r="M4" s="457" t="s">
        <v>156</v>
      </c>
      <c r="N4" s="457"/>
      <c r="O4" s="458"/>
      <c r="P4" s="459" t="s">
        <v>156</v>
      </c>
      <c r="Q4" s="459"/>
      <c r="R4" s="460"/>
      <c r="S4" s="438" t="s">
        <v>156</v>
      </c>
      <c r="T4" s="438"/>
      <c r="U4" s="439"/>
      <c r="V4" s="438" t="s">
        <v>156</v>
      </c>
      <c r="W4" s="438"/>
      <c r="X4" s="439"/>
      <c r="Y4" s="438" t="s">
        <v>156</v>
      </c>
      <c r="Z4" s="438"/>
      <c r="AA4" s="439"/>
      <c r="AB4" s="438" t="s">
        <v>156</v>
      </c>
      <c r="AC4" s="438"/>
      <c r="AD4" s="439"/>
      <c r="AE4" s="438" t="s">
        <v>156</v>
      </c>
      <c r="AF4" s="438"/>
      <c r="AG4" s="439"/>
      <c r="AH4" s="438" t="s">
        <v>156</v>
      </c>
      <c r="AI4" s="438"/>
      <c r="AJ4" s="439"/>
      <c r="AK4" s="438" t="s">
        <v>156</v>
      </c>
      <c r="AL4" s="438"/>
      <c r="AM4" s="439"/>
      <c r="AN4" s="438" t="s">
        <v>156</v>
      </c>
      <c r="AO4" s="438"/>
      <c r="AP4" s="439"/>
    </row>
    <row r="5" spans="1:42" s="48" customFormat="1" ht="15" customHeight="1" x14ac:dyDescent="0.2">
      <c r="A5" s="448"/>
      <c r="B5" s="450"/>
      <c r="C5" s="450"/>
      <c r="D5" s="462" t="s">
        <v>82</v>
      </c>
      <c r="E5" s="463"/>
      <c r="F5" s="464"/>
      <c r="G5" s="462" t="s">
        <v>82</v>
      </c>
      <c r="H5" s="463"/>
      <c r="I5" s="464"/>
      <c r="J5" s="468" t="s">
        <v>82</v>
      </c>
      <c r="K5" s="469"/>
      <c r="L5" s="470"/>
      <c r="M5" s="471" t="s">
        <v>82</v>
      </c>
      <c r="N5" s="472"/>
      <c r="O5" s="473"/>
      <c r="P5" s="474" t="s">
        <v>82</v>
      </c>
      <c r="Q5" s="475"/>
      <c r="R5" s="476"/>
      <c r="S5" s="440" t="s">
        <v>82</v>
      </c>
      <c r="T5" s="441"/>
      <c r="U5" s="442"/>
      <c r="V5" s="440" t="s">
        <v>82</v>
      </c>
      <c r="W5" s="441"/>
      <c r="X5" s="442"/>
      <c r="Y5" s="440" t="s">
        <v>82</v>
      </c>
      <c r="Z5" s="441"/>
      <c r="AA5" s="442"/>
      <c r="AB5" s="440" t="s">
        <v>82</v>
      </c>
      <c r="AC5" s="441"/>
      <c r="AD5" s="442"/>
      <c r="AE5" s="440" t="s">
        <v>82</v>
      </c>
      <c r="AF5" s="441"/>
      <c r="AG5" s="442"/>
      <c r="AH5" s="440" t="s">
        <v>82</v>
      </c>
      <c r="AI5" s="441"/>
      <c r="AJ5" s="442"/>
      <c r="AK5" s="440" t="s">
        <v>82</v>
      </c>
      <c r="AL5" s="441"/>
      <c r="AM5" s="442"/>
      <c r="AN5" s="440" t="s">
        <v>82</v>
      </c>
      <c r="AO5" s="441"/>
      <c r="AP5" s="442"/>
    </row>
    <row r="6" spans="1:42" s="48" customFormat="1" ht="15" x14ac:dyDescent="0.2">
      <c r="A6" s="449"/>
      <c r="B6" s="450"/>
      <c r="C6" s="450"/>
      <c r="D6" s="49" t="s">
        <v>87</v>
      </c>
      <c r="E6" s="49" t="s">
        <v>88</v>
      </c>
      <c r="F6" s="49" t="s">
        <v>86</v>
      </c>
      <c r="G6" s="49" t="s">
        <v>87</v>
      </c>
      <c r="H6" s="49" t="s">
        <v>88</v>
      </c>
      <c r="I6" s="49" t="s">
        <v>86</v>
      </c>
      <c r="J6" s="51" t="s">
        <v>87</v>
      </c>
      <c r="K6" s="51" t="s">
        <v>88</v>
      </c>
      <c r="L6" s="51" t="s">
        <v>86</v>
      </c>
      <c r="M6" s="52" t="s">
        <v>87</v>
      </c>
      <c r="N6" s="52" t="s">
        <v>88</v>
      </c>
      <c r="O6" s="52" t="s">
        <v>86</v>
      </c>
      <c r="P6" s="53" t="s">
        <v>87</v>
      </c>
      <c r="Q6" s="53" t="s">
        <v>88</v>
      </c>
      <c r="R6" s="53" t="s">
        <v>86</v>
      </c>
      <c r="S6" s="54" t="s">
        <v>87</v>
      </c>
      <c r="T6" s="54" t="s">
        <v>88</v>
      </c>
      <c r="U6" s="54" t="s">
        <v>86</v>
      </c>
      <c r="V6" s="54" t="s">
        <v>87</v>
      </c>
      <c r="W6" s="54" t="s">
        <v>88</v>
      </c>
      <c r="X6" s="54" t="s">
        <v>86</v>
      </c>
      <c r="Y6" s="54" t="s">
        <v>87</v>
      </c>
      <c r="Z6" s="54" t="s">
        <v>88</v>
      </c>
      <c r="AA6" s="54" t="s">
        <v>86</v>
      </c>
      <c r="AB6" s="54" t="s">
        <v>87</v>
      </c>
      <c r="AC6" s="54" t="s">
        <v>88</v>
      </c>
      <c r="AD6" s="54" t="s">
        <v>86</v>
      </c>
      <c r="AE6" s="54" t="s">
        <v>87</v>
      </c>
      <c r="AF6" s="54" t="s">
        <v>88</v>
      </c>
      <c r="AG6" s="54" t="s">
        <v>86</v>
      </c>
      <c r="AH6" s="54" t="s">
        <v>87</v>
      </c>
      <c r="AI6" s="54" t="s">
        <v>88</v>
      </c>
      <c r="AJ6" s="54" t="s">
        <v>86</v>
      </c>
      <c r="AK6" s="54" t="s">
        <v>87</v>
      </c>
      <c r="AL6" s="54" t="s">
        <v>88</v>
      </c>
      <c r="AM6" s="54" t="s">
        <v>86</v>
      </c>
      <c r="AN6" s="54" t="s">
        <v>87</v>
      </c>
      <c r="AO6" s="54" t="s">
        <v>88</v>
      </c>
      <c r="AP6" s="54" t="s">
        <v>86</v>
      </c>
    </row>
    <row r="7" spans="1:42" s="55" customFormat="1" ht="15" x14ac:dyDescent="0.2">
      <c r="A7" s="280">
        <v>1</v>
      </c>
      <c r="B7" s="128">
        <f>A7+1</f>
        <v>2</v>
      </c>
      <c r="C7" s="128">
        <f t="shared" ref="C7:AP7" si="0">B7+1</f>
        <v>3</v>
      </c>
      <c r="D7" s="380">
        <f t="shared" si="0"/>
        <v>4</v>
      </c>
      <c r="E7" s="380">
        <f t="shared" si="0"/>
        <v>5</v>
      </c>
      <c r="F7" s="380">
        <f t="shared" si="0"/>
        <v>6</v>
      </c>
      <c r="G7" s="380">
        <f t="shared" si="0"/>
        <v>7</v>
      </c>
      <c r="H7" s="380">
        <f t="shared" si="0"/>
        <v>8</v>
      </c>
      <c r="I7" s="380">
        <f t="shared" si="0"/>
        <v>9</v>
      </c>
      <c r="J7" s="128">
        <f t="shared" si="0"/>
        <v>10</v>
      </c>
      <c r="K7" s="128">
        <f t="shared" si="0"/>
        <v>11</v>
      </c>
      <c r="L7" s="128">
        <f t="shared" si="0"/>
        <v>12</v>
      </c>
      <c r="M7" s="128">
        <f t="shared" si="0"/>
        <v>13</v>
      </c>
      <c r="N7" s="128">
        <f t="shared" si="0"/>
        <v>14</v>
      </c>
      <c r="O7" s="128">
        <f t="shared" si="0"/>
        <v>15</v>
      </c>
      <c r="P7" s="128">
        <f t="shared" si="0"/>
        <v>16</v>
      </c>
      <c r="Q7" s="128">
        <f t="shared" si="0"/>
        <v>17</v>
      </c>
      <c r="R7" s="128">
        <f t="shared" si="0"/>
        <v>18</v>
      </c>
      <c r="S7" s="128">
        <f t="shared" si="0"/>
        <v>19</v>
      </c>
      <c r="T7" s="128">
        <f t="shared" si="0"/>
        <v>20</v>
      </c>
      <c r="U7" s="128">
        <f t="shared" si="0"/>
        <v>21</v>
      </c>
      <c r="V7" s="128">
        <f t="shared" si="0"/>
        <v>22</v>
      </c>
      <c r="W7" s="128">
        <f t="shared" si="0"/>
        <v>23</v>
      </c>
      <c r="X7" s="128">
        <f t="shared" si="0"/>
        <v>24</v>
      </c>
      <c r="Y7" s="128">
        <f t="shared" si="0"/>
        <v>25</v>
      </c>
      <c r="Z7" s="128">
        <f t="shared" si="0"/>
        <v>26</v>
      </c>
      <c r="AA7" s="128">
        <f t="shared" si="0"/>
        <v>27</v>
      </c>
      <c r="AB7" s="128">
        <f t="shared" si="0"/>
        <v>28</v>
      </c>
      <c r="AC7" s="128">
        <f t="shared" si="0"/>
        <v>29</v>
      </c>
      <c r="AD7" s="128">
        <f t="shared" si="0"/>
        <v>30</v>
      </c>
      <c r="AE7" s="128">
        <f t="shared" si="0"/>
        <v>31</v>
      </c>
      <c r="AF7" s="128">
        <f t="shared" si="0"/>
        <v>32</v>
      </c>
      <c r="AG7" s="128">
        <f t="shared" si="0"/>
        <v>33</v>
      </c>
      <c r="AH7" s="128">
        <f t="shared" si="0"/>
        <v>34</v>
      </c>
      <c r="AI7" s="128">
        <f t="shared" si="0"/>
        <v>35</v>
      </c>
      <c r="AJ7" s="128">
        <f t="shared" si="0"/>
        <v>36</v>
      </c>
      <c r="AK7" s="128">
        <f t="shared" si="0"/>
        <v>37</v>
      </c>
      <c r="AL7" s="128">
        <f t="shared" si="0"/>
        <v>38</v>
      </c>
      <c r="AM7" s="128">
        <f t="shared" si="0"/>
        <v>39</v>
      </c>
      <c r="AN7" s="128">
        <f t="shared" si="0"/>
        <v>40</v>
      </c>
      <c r="AO7" s="128">
        <f t="shared" si="0"/>
        <v>41</v>
      </c>
      <c r="AP7" s="128">
        <f t="shared" si="0"/>
        <v>42</v>
      </c>
    </row>
    <row r="8" spans="1:42" s="55" customFormat="1" ht="28.5" x14ac:dyDescent="0.2">
      <c r="A8" s="176" t="s">
        <v>5</v>
      </c>
      <c r="B8" s="56" t="s">
        <v>89</v>
      </c>
      <c r="C8" s="57" t="s">
        <v>90</v>
      </c>
      <c r="D8" s="202">
        <f t="shared" ref="D8:E8" si="1">SUM(D9:D10)</f>
        <v>15295.744492999338</v>
      </c>
      <c r="E8" s="203">
        <f t="shared" si="1"/>
        <v>15295.744492999338</v>
      </c>
      <c r="F8" s="394">
        <f>ROUND(SUM(F9:F10),3)</f>
        <v>30591.489000000001</v>
      </c>
      <c r="G8" s="202">
        <f t="shared" ref="G8" si="2">SUM(G9:G10)</f>
        <v>46076.863202676192</v>
      </c>
      <c r="H8" s="203">
        <f t="shared" ref="H8" si="3">SUM(H9:H10)</f>
        <v>46076.863202676192</v>
      </c>
      <c r="I8" s="394">
        <f>ROUND(SUM(I9:I10),3)</f>
        <v>92153.725999999995</v>
      </c>
      <c r="J8" s="202">
        <f t="shared" ref="J8" si="4">SUM(J9:J10)</f>
        <v>10486.053382654109</v>
      </c>
      <c r="K8" s="203">
        <f t="shared" ref="K8" si="5">SUM(K9:K10)</f>
        <v>10486.053382654109</v>
      </c>
      <c r="L8" s="394">
        <f>ROUND(SUM(L9:L10),3)</f>
        <v>20972.107</v>
      </c>
      <c r="M8" s="202">
        <f t="shared" ref="M8" si="6">SUM(M9:M10)</f>
        <v>66420.743560342613</v>
      </c>
      <c r="N8" s="203">
        <f t="shared" ref="N8" si="7">SUM(N9:N10)</f>
        <v>66420.743560342613</v>
      </c>
      <c r="O8" s="394">
        <f>ROUND(SUM(O9:O10),3)</f>
        <v>132841.48699999999</v>
      </c>
      <c r="P8" s="202">
        <f t="shared" ref="P8" si="8">SUM(P9:P10)</f>
        <v>10451.412970426332</v>
      </c>
      <c r="Q8" s="203">
        <f t="shared" ref="Q8" si="9">SUM(Q9:Q10)</f>
        <v>10451.412970426332</v>
      </c>
      <c r="R8" s="394">
        <f>ROUND(SUM(R9:R10),3)</f>
        <v>20902.826000000001</v>
      </c>
      <c r="S8" s="202">
        <f t="shared" ref="S8" si="10">SUM(S9:S10)</f>
        <v>7328.0270307969731</v>
      </c>
      <c r="T8" s="203">
        <f t="shared" ref="T8" si="11">SUM(T9:T10)</f>
        <v>7328.0270307969731</v>
      </c>
      <c r="U8" s="394">
        <f>ROUND(SUM(U9:U10),3)</f>
        <v>14656.054</v>
      </c>
      <c r="V8" s="202">
        <f t="shared" ref="V8" si="12">SUM(V9:V10)</f>
        <v>8646.0866404390654</v>
      </c>
      <c r="W8" s="203">
        <f t="shared" ref="W8" si="13">SUM(W9:W10)</f>
        <v>8646.0866404390654</v>
      </c>
      <c r="X8" s="394">
        <f>ROUND(SUM(X9:X10),3)</f>
        <v>17292.172999999999</v>
      </c>
      <c r="Y8" s="202">
        <f t="shared" ref="Y8" si="14">SUM(Y9:Y10)</f>
        <v>2985.7175734222224</v>
      </c>
      <c r="Z8" s="203">
        <f t="shared" ref="Z8" si="15">SUM(Z9:Z10)</f>
        <v>2985.7175734222224</v>
      </c>
      <c r="AA8" s="394">
        <f>ROUND(SUM(AA9:AA10),3)</f>
        <v>5971.4350000000004</v>
      </c>
      <c r="AB8" s="202">
        <f t="shared" ref="AB8" si="16">SUM(AB9:AB10)</f>
        <v>21530.714809331432</v>
      </c>
      <c r="AC8" s="203">
        <f t="shared" ref="AC8" si="17">SUM(AC9:AC10)</f>
        <v>21530.714809331432</v>
      </c>
      <c r="AD8" s="394">
        <f>ROUND(SUM(AD9:AD10),3)</f>
        <v>43061.43</v>
      </c>
      <c r="AE8" s="202">
        <f t="shared" ref="AE8" si="18">SUM(AE9:AE10)</f>
        <v>18779.460719039002</v>
      </c>
      <c r="AF8" s="203">
        <f t="shared" ref="AF8" si="19">SUM(AF9:AF10)</f>
        <v>18779.460719039002</v>
      </c>
      <c r="AG8" s="394">
        <f>ROUND(SUM(AG9:AG10),3)</f>
        <v>37558.921000000002</v>
      </c>
      <c r="AH8" s="202">
        <f t="shared" ref="AH8" si="20">SUM(AH9:AH10)</f>
        <v>22129.21343277979</v>
      </c>
      <c r="AI8" s="203">
        <f t="shared" ref="AI8" si="21">SUM(AI9:AI10)</f>
        <v>22129.21343277979</v>
      </c>
      <c r="AJ8" s="394">
        <f>ROUND(SUM(AJ9:AJ10),3)</f>
        <v>44258.427000000003</v>
      </c>
      <c r="AK8" s="202">
        <f t="shared" ref="AK8" si="22">SUM(AK9:AK10)</f>
        <v>87010.379397778874</v>
      </c>
      <c r="AL8" s="203">
        <f t="shared" ref="AL8" si="23">SUM(AL9:AL10)</f>
        <v>87010.379397778874</v>
      </c>
      <c r="AM8" s="394">
        <f>ROUND(SUM(AM9:AM10),3)</f>
        <v>174020.75899999999</v>
      </c>
      <c r="AN8" s="202">
        <f t="shared" ref="AN8" si="24">SUM(AN9:AN10)</f>
        <v>8717.1157759007037</v>
      </c>
      <c r="AO8" s="203">
        <f t="shared" ref="AO8" si="25">SUM(AO9:AO10)</f>
        <v>8717.1157759007037</v>
      </c>
      <c r="AP8" s="394">
        <f>ROUND(SUM(AP9:AP10),3)</f>
        <v>17434.232</v>
      </c>
    </row>
    <row r="9" spans="1:42" s="55" customFormat="1" ht="15" x14ac:dyDescent="0.2">
      <c r="A9" s="61" t="s">
        <v>33</v>
      </c>
      <c r="B9" s="62" t="s">
        <v>91</v>
      </c>
      <c r="C9" s="63" t="s">
        <v>90</v>
      </c>
      <c r="D9" s="183">
        <v>0</v>
      </c>
      <c r="E9" s="184">
        <v>0</v>
      </c>
      <c r="F9" s="179">
        <v>0</v>
      </c>
      <c r="G9" s="183">
        <v>0</v>
      </c>
      <c r="H9" s="184">
        <v>0</v>
      </c>
      <c r="I9" s="179">
        <v>0</v>
      </c>
      <c r="J9" s="183">
        <v>0</v>
      </c>
      <c r="K9" s="184">
        <v>0</v>
      </c>
      <c r="L9" s="179">
        <v>0</v>
      </c>
      <c r="M9" s="183">
        <v>0</v>
      </c>
      <c r="N9" s="184">
        <v>0</v>
      </c>
      <c r="O9" s="179">
        <v>0</v>
      </c>
      <c r="P9" s="183">
        <v>0</v>
      </c>
      <c r="Q9" s="184">
        <v>0</v>
      </c>
      <c r="R9" s="179">
        <v>0</v>
      </c>
      <c r="S9" s="183">
        <v>0</v>
      </c>
      <c r="T9" s="184">
        <v>0</v>
      </c>
      <c r="U9" s="179">
        <v>0</v>
      </c>
      <c r="V9" s="183">
        <v>0</v>
      </c>
      <c r="W9" s="184">
        <v>0</v>
      </c>
      <c r="X9" s="179">
        <v>0</v>
      </c>
      <c r="Y9" s="183">
        <v>0</v>
      </c>
      <c r="Z9" s="184">
        <v>0</v>
      </c>
      <c r="AA9" s="179">
        <v>0</v>
      </c>
      <c r="AB9" s="183">
        <v>0</v>
      </c>
      <c r="AC9" s="184">
        <v>0</v>
      </c>
      <c r="AD9" s="179">
        <v>0</v>
      </c>
      <c r="AE9" s="183">
        <v>0</v>
      </c>
      <c r="AF9" s="184">
        <v>0</v>
      </c>
      <c r="AG9" s="179">
        <v>0</v>
      </c>
      <c r="AH9" s="183">
        <v>0</v>
      </c>
      <c r="AI9" s="184">
        <v>0</v>
      </c>
      <c r="AJ9" s="179">
        <v>0</v>
      </c>
      <c r="AK9" s="183">
        <v>0</v>
      </c>
      <c r="AL9" s="184">
        <v>0</v>
      </c>
      <c r="AM9" s="179">
        <v>0</v>
      </c>
      <c r="AN9" s="183">
        <v>0</v>
      </c>
      <c r="AO9" s="184">
        <v>0</v>
      </c>
      <c r="AP9" s="179">
        <v>0</v>
      </c>
    </row>
    <row r="10" spans="1:42" s="55" customFormat="1" ht="15" x14ac:dyDescent="0.2">
      <c r="A10" s="84" t="s">
        <v>34</v>
      </c>
      <c r="B10" s="65" t="s">
        <v>92</v>
      </c>
      <c r="C10" s="66" t="s">
        <v>90</v>
      </c>
      <c r="D10" s="183">
        <f>$F$10*0.5</f>
        <v>15295.744492999338</v>
      </c>
      <c r="E10" s="184">
        <f>$F$10*0.5</f>
        <v>15295.744492999338</v>
      </c>
      <c r="F10" s="179">
        <f>[7]Канч!$M$13</f>
        <v>30591.488985998676</v>
      </c>
      <c r="G10" s="183">
        <f>I10*0.5</f>
        <v>46076.863202676192</v>
      </c>
      <c r="H10" s="184">
        <f>I10*0.5</f>
        <v>46076.863202676192</v>
      </c>
      <c r="I10" s="399">
        <f>[7]У_Копи!$M$13</f>
        <v>92153.726405352383</v>
      </c>
      <c r="J10" s="183">
        <f>L10*0.5</f>
        <v>10486.053382654109</v>
      </c>
      <c r="K10" s="184">
        <f>L10*0.5</f>
        <v>10486.053382654109</v>
      </c>
      <c r="L10" s="399">
        <f>[7]Алькат!$M$13</f>
        <v>20972.106765308217</v>
      </c>
      <c r="M10" s="183">
        <f>O10*0.5</f>
        <v>66420.743560342613</v>
      </c>
      <c r="N10" s="184">
        <f>O10*0.5</f>
        <v>66420.743560342613</v>
      </c>
      <c r="O10" s="399">
        <f>[7]Беринг!$M$13</f>
        <v>132841.48712068523</v>
      </c>
      <c r="P10" s="183">
        <f>R10*0.5</f>
        <v>10451.412970426332</v>
      </c>
      <c r="Q10" s="184">
        <f>R10*0.5</f>
        <v>10451.412970426332</v>
      </c>
      <c r="R10" s="399">
        <f>[7]Мейнып!$M$13</f>
        <v>20902.825940852665</v>
      </c>
      <c r="S10" s="183">
        <f>U10*0.5</f>
        <v>7328.0270307969731</v>
      </c>
      <c r="T10" s="184">
        <f>U10*0.5</f>
        <v>7328.0270307969731</v>
      </c>
      <c r="U10" s="399">
        <f>[7]Хатыр!$M$13</f>
        <v>14656.054061593946</v>
      </c>
      <c r="V10" s="183">
        <f>X10*0.5</f>
        <v>8646.0866404390654</v>
      </c>
      <c r="W10" s="184">
        <f>X10*0.5</f>
        <v>8646.0866404390654</v>
      </c>
      <c r="X10" s="399">
        <f>[7]Ваеги!$M$13</f>
        <v>17292.173280878131</v>
      </c>
      <c r="Y10" s="183">
        <f>AA10*0.5</f>
        <v>2985.7175734222224</v>
      </c>
      <c r="Z10" s="184">
        <f>AA10*0.5</f>
        <v>2985.7175734222224</v>
      </c>
      <c r="AA10" s="399">
        <f>[7]Снежн!$M$13</f>
        <v>5971.4351468444447</v>
      </c>
      <c r="AB10" s="183">
        <f>AD10*0.5</f>
        <v>21530.714809331432</v>
      </c>
      <c r="AC10" s="184">
        <f>AD10*0.5</f>
        <v>21530.714809331432</v>
      </c>
      <c r="AD10" s="399">
        <f>[7]Марк!$M$13</f>
        <v>43061.429618662864</v>
      </c>
      <c r="AE10" s="183">
        <f>AG10*0.5</f>
        <v>18779.460719039002</v>
      </c>
      <c r="AF10" s="184">
        <f>AG10*0.5</f>
        <v>18779.460719039002</v>
      </c>
      <c r="AG10" s="399">
        <f>[7]У_Бел!$M$13</f>
        <v>37558.921438078003</v>
      </c>
      <c r="AH10" s="183">
        <f>AJ10*0.5</f>
        <v>22129.21343277979</v>
      </c>
      <c r="AI10" s="184">
        <f>AJ10*0.5</f>
        <v>22129.21343277979</v>
      </c>
      <c r="AJ10" s="399">
        <f>[7]Н_Чапл!$M$13</f>
        <v>44258.426865559581</v>
      </c>
      <c r="AK10" s="183">
        <f>AM10*0.5</f>
        <v>87010.379397778874</v>
      </c>
      <c r="AL10" s="184">
        <f>AM10*0.5</f>
        <v>87010.379397778874</v>
      </c>
      <c r="AM10" s="399">
        <f>[7]Провид!$M$13</f>
        <v>174020.75879555775</v>
      </c>
      <c r="AN10" s="183">
        <f>AP10*0.5</f>
        <v>8717.1157759007037</v>
      </c>
      <c r="AO10" s="184">
        <f>AP10*0.5</f>
        <v>8717.1157759007037</v>
      </c>
      <c r="AP10" s="399">
        <f>[7]Сирен!$M$13</f>
        <v>17434.231551801407</v>
      </c>
    </row>
    <row r="11" spans="1:42" s="55" customFormat="1" ht="28.5" x14ac:dyDescent="0.2">
      <c r="A11" s="85" t="s">
        <v>6</v>
      </c>
      <c r="B11" s="68" t="s">
        <v>93</v>
      </c>
      <c r="C11" s="66" t="s">
        <v>90</v>
      </c>
      <c r="D11" s="205">
        <v>0</v>
      </c>
      <c r="E11" s="206">
        <v>0</v>
      </c>
      <c r="F11" s="182">
        <v>0</v>
      </c>
      <c r="G11" s="205">
        <f>I11*0.5</f>
        <v>93638.502752247223</v>
      </c>
      <c r="H11" s="206">
        <f>I11*0.5</f>
        <v>93638.502752247223</v>
      </c>
      <c r="I11" s="400">
        <f>[7]У_Копи!$Q$14</f>
        <v>187277.00550449445</v>
      </c>
      <c r="J11" s="205">
        <f>L11*0.5</f>
        <v>0</v>
      </c>
      <c r="K11" s="206">
        <f>L11*0.5</f>
        <v>0</v>
      </c>
      <c r="L11" s="400">
        <f>[7]Алькат!$Q$14</f>
        <v>0</v>
      </c>
      <c r="M11" s="205">
        <f>O11*0.5</f>
        <v>0</v>
      </c>
      <c r="N11" s="206">
        <f>O11*0.5</f>
        <v>0</v>
      </c>
      <c r="O11" s="400">
        <f>[7]Беринг!$Q$14</f>
        <v>0</v>
      </c>
      <c r="P11" s="205">
        <f>R11*0.5</f>
        <v>0</v>
      </c>
      <c r="Q11" s="206">
        <f>R11*0.5</f>
        <v>0</v>
      </c>
      <c r="R11" s="400">
        <f>[7]Мейнып!$Q$14</f>
        <v>0</v>
      </c>
      <c r="S11" s="205">
        <f>U11*0.5</f>
        <v>0</v>
      </c>
      <c r="T11" s="206">
        <f>U11*0.5</f>
        <v>0</v>
      </c>
      <c r="U11" s="400">
        <f>[7]Хатыр!$Q$14</f>
        <v>0</v>
      </c>
      <c r="V11" s="205">
        <f>X11*0.5</f>
        <v>0</v>
      </c>
      <c r="W11" s="206">
        <f>X11*0.5</f>
        <v>0</v>
      </c>
      <c r="X11" s="400">
        <f>[7]Ваеги!$Q$14</f>
        <v>0</v>
      </c>
      <c r="Y11" s="205">
        <f>AA11*0.5</f>
        <v>0</v>
      </c>
      <c r="Z11" s="206">
        <f>AA11*0.5</f>
        <v>0</v>
      </c>
      <c r="AA11" s="400">
        <f>[7]Снежн!$Q$14</f>
        <v>0</v>
      </c>
      <c r="AB11" s="205">
        <f>AD11*0.5</f>
        <v>0</v>
      </c>
      <c r="AC11" s="206">
        <f>AD11*0.5</f>
        <v>0</v>
      </c>
      <c r="AD11" s="400">
        <f>[7]Марк!$Q$14</f>
        <v>0</v>
      </c>
      <c r="AE11" s="205">
        <f>AG11*0.5</f>
        <v>0</v>
      </c>
      <c r="AF11" s="206">
        <f>AG11*0.5</f>
        <v>0</v>
      </c>
      <c r="AG11" s="400">
        <f>[7]У_Бел!$Q$14</f>
        <v>0</v>
      </c>
      <c r="AH11" s="205">
        <f>AJ11*0.5</f>
        <v>0</v>
      </c>
      <c r="AI11" s="206">
        <f>AJ11*0.5</f>
        <v>0</v>
      </c>
      <c r="AJ11" s="400">
        <f>[7]Н_Чапл!$Q$14</f>
        <v>0</v>
      </c>
      <c r="AK11" s="205">
        <f>AM11*0.5</f>
        <v>0</v>
      </c>
      <c r="AL11" s="206">
        <f>AM11*0.5</f>
        <v>0</v>
      </c>
      <c r="AM11" s="400">
        <f>[7]Провид!$Q$14</f>
        <v>0</v>
      </c>
      <c r="AN11" s="205">
        <f>AP11*0.5</f>
        <v>0</v>
      </c>
      <c r="AO11" s="206">
        <f>AP11*0.5</f>
        <v>0</v>
      </c>
      <c r="AP11" s="400">
        <f>[7]Сирен!$Q$14</f>
        <v>0</v>
      </c>
    </row>
    <row r="12" spans="1:42" s="55" customFormat="1" ht="15" x14ac:dyDescent="0.2">
      <c r="A12" s="84" t="s">
        <v>7</v>
      </c>
      <c r="B12" s="70" t="s">
        <v>94</v>
      </c>
      <c r="C12" s="66" t="s">
        <v>90</v>
      </c>
      <c r="D12" s="183">
        <v>0</v>
      </c>
      <c r="E12" s="184">
        <v>0</v>
      </c>
      <c r="F12" s="179">
        <v>0</v>
      </c>
      <c r="G12" s="183">
        <f>I12*0.5</f>
        <v>100.26430419920459</v>
      </c>
      <c r="H12" s="184">
        <f>I12*0.5</f>
        <v>100.26430419920459</v>
      </c>
      <c r="I12" s="399">
        <f>[7]У_Копи!$Q$15</f>
        <v>200.52860839840918</v>
      </c>
      <c r="J12" s="183">
        <f>L12*0.5</f>
        <v>0</v>
      </c>
      <c r="K12" s="184">
        <f>L12*0.5</f>
        <v>0</v>
      </c>
      <c r="L12" s="399">
        <f>[7]Алькат!$Q$15</f>
        <v>0</v>
      </c>
      <c r="M12" s="183">
        <f>O12*0.5</f>
        <v>65.823029999999989</v>
      </c>
      <c r="N12" s="184">
        <f>O12*0.5</f>
        <v>65.823029999999989</v>
      </c>
      <c r="O12" s="399">
        <f>[7]Беринг!$Q$15</f>
        <v>131.64605999999998</v>
      </c>
      <c r="P12" s="183">
        <f>R12*0.5</f>
        <v>0</v>
      </c>
      <c r="Q12" s="184">
        <f>R12*0.5</f>
        <v>0</v>
      </c>
      <c r="R12" s="399">
        <f>[7]Мейнып!$Q$15</f>
        <v>0</v>
      </c>
      <c r="S12" s="183">
        <f>U12*0.5</f>
        <v>142.5</v>
      </c>
      <c r="T12" s="184">
        <f>U12*0.5</f>
        <v>142.5</v>
      </c>
      <c r="U12" s="399">
        <f>[7]Хатыр!$Q$15</f>
        <v>285</v>
      </c>
      <c r="V12" s="183">
        <f>X12*0.5</f>
        <v>1554.5746125000001</v>
      </c>
      <c r="W12" s="184">
        <f>X12*0.5</f>
        <v>1554.5746125000001</v>
      </c>
      <c r="X12" s="399">
        <f>[7]Ваеги!$Q$15</f>
        <v>3109.1492250000001</v>
      </c>
      <c r="Y12" s="183">
        <f>AA12*0.5</f>
        <v>0</v>
      </c>
      <c r="Z12" s="184">
        <f>AA12*0.5</f>
        <v>0</v>
      </c>
      <c r="AA12" s="399">
        <f>[7]Снежн!$Q$15</f>
        <v>0</v>
      </c>
      <c r="AB12" s="183">
        <f>AD12*0.5</f>
        <v>38.319322222222226</v>
      </c>
      <c r="AC12" s="184">
        <f>AD12*0.5</f>
        <v>38.319322222222226</v>
      </c>
      <c r="AD12" s="399">
        <f>[7]Марк!$Q$15</f>
        <v>76.638644444444452</v>
      </c>
      <c r="AE12" s="183">
        <f>AG12*0.5</f>
        <v>0</v>
      </c>
      <c r="AF12" s="184">
        <f>AG12*0.5</f>
        <v>0</v>
      </c>
      <c r="AG12" s="399">
        <f>[7]У_Бел!$Q$15</f>
        <v>0</v>
      </c>
      <c r="AH12" s="183">
        <f>AJ12*0.5</f>
        <v>0</v>
      </c>
      <c r="AI12" s="184">
        <f>AJ12*0.5</f>
        <v>0</v>
      </c>
      <c r="AJ12" s="399">
        <f>[7]Н_Чапл!$Q$15</f>
        <v>0</v>
      </c>
      <c r="AK12" s="183">
        <f>AM12*0.5</f>
        <v>1266.5561245580523</v>
      </c>
      <c r="AL12" s="184">
        <f>AM12*0.5</f>
        <v>1266.5561245580523</v>
      </c>
      <c r="AM12" s="399">
        <f>[7]Провид!$Q$15</f>
        <v>2533.1122491161045</v>
      </c>
      <c r="AN12" s="183">
        <f>AP12*0.5</f>
        <v>0</v>
      </c>
      <c r="AO12" s="184">
        <f>AP12*0.5</f>
        <v>0</v>
      </c>
      <c r="AP12" s="399">
        <f>[7]Сирен!$Q$15</f>
        <v>0</v>
      </c>
    </row>
    <row r="13" spans="1:42" s="55" customFormat="1" ht="15" x14ac:dyDescent="0.2">
      <c r="A13" s="84" t="s">
        <v>8</v>
      </c>
      <c r="B13" s="70" t="s">
        <v>95</v>
      </c>
      <c r="C13" s="66" t="s">
        <v>90</v>
      </c>
      <c r="D13" s="183">
        <f t="shared" ref="D13:E13" si="26">SUM(D8,D11)-D14</f>
        <v>14125.467291100844</v>
      </c>
      <c r="E13" s="184">
        <f t="shared" si="26"/>
        <v>14125.467291100844</v>
      </c>
      <c r="F13" s="179">
        <f>SUM(F8,F11)-F14-F12</f>
        <v>28250.934596203013</v>
      </c>
      <c r="G13" s="183">
        <f t="shared" ref="G13" si="27">SUM(G8,G11)-G14</f>
        <v>135042.86595492341</v>
      </c>
      <c r="H13" s="184">
        <f t="shared" ref="H13" si="28">SUM(H8,H11)-H14</f>
        <v>135042.86595492341</v>
      </c>
      <c r="I13" s="179">
        <f>SUM(I8,I11)-I14-I12</f>
        <v>269885.20289609605</v>
      </c>
      <c r="J13" s="183">
        <f t="shared" ref="J13" si="29">SUM(J8,J11)-J14</f>
        <v>10092.303934898664</v>
      </c>
      <c r="K13" s="184">
        <f t="shared" ref="K13" si="30">SUM(K8,K11)-K14</f>
        <v>10092.303934898664</v>
      </c>
      <c r="L13" s="179">
        <f>SUM(L8,L11)-L14-L12</f>
        <v>20184.608104489111</v>
      </c>
      <c r="M13" s="183">
        <f t="shared" ref="M13" si="31">SUM(M8,M11)-M14</f>
        <v>64317.243560342613</v>
      </c>
      <c r="N13" s="184">
        <f t="shared" ref="N13" si="32">SUM(N8,N11)-N14</f>
        <v>64317.243560342613</v>
      </c>
      <c r="O13" s="179">
        <f>SUM(O8,O11)-O14-O12</f>
        <v>128502.84093999999</v>
      </c>
      <c r="P13" s="183">
        <f t="shared" ref="P13" si="33">SUM(P8,P11)-P14</f>
        <v>9804.9129704263323</v>
      </c>
      <c r="Q13" s="184">
        <f t="shared" ref="Q13" si="34">SUM(Q8,Q11)-Q14</f>
        <v>9804.9129704263323</v>
      </c>
      <c r="R13" s="179">
        <f>SUM(R8,R11)-R14-R12</f>
        <v>19609.826000000001</v>
      </c>
      <c r="S13" s="183">
        <f t="shared" ref="S13" si="35">SUM(S8,S11)-S14</f>
        <v>7150.1770307969728</v>
      </c>
      <c r="T13" s="184">
        <f t="shared" ref="T13" si="36">SUM(T8,T11)-T14</f>
        <v>7150.1770307969728</v>
      </c>
      <c r="U13" s="179">
        <f>SUM(U8,U11)-U14-U12</f>
        <v>14015.353999999999</v>
      </c>
      <c r="V13" s="183">
        <f t="shared" ref="V13" si="37">SUM(V8,V11)-V14</f>
        <v>7851.8366404390654</v>
      </c>
      <c r="W13" s="184">
        <f t="shared" ref="W13" si="38">SUM(W8,W11)-W14</f>
        <v>7851.8366404390654</v>
      </c>
      <c r="X13" s="179">
        <f>SUM(X8,X11)-X14-X12</f>
        <v>12594.523774999998</v>
      </c>
      <c r="Y13" s="183">
        <f t="shared" ref="Y13" si="39">SUM(Y8,Y11)-Y14</f>
        <v>2459.9924230940378</v>
      </c>
      <c r="Z13" s="184">
        <f t="shared" ref="Z13" si="40">SUM(Z8,Z11)-Z14</f>
        <v>2459.9924230940378</v>
      </c>
      <c r="AA13" s="179">
        <f>SUM(AA8,AA11)-AA14-AA12</f>
        <v>4919.9846993436313</v>
      </c>
      <c r="AB13" s="183">
        <f t="shared" ref="AB13" si="41">SUM(AB8,AB11)-AB14</f>
        <v>19439.074880525965</v>
      </c>
      <c r="AC13" s="184">
        <f t="shared" ref="AC13" si="42">SUM(AC8,AC11)-AC14</f>
        <v>19439.074880525965</v>
      </c>
      <c r="AD13" s="179">
        <f>SUM(AD8,AD11)-AD14-AD12</f>
        <v>38801.511497944623</v>
      </c>
      <c r="AE13" s="183">
        <f t="shared" ref="AE13" si="43">SUM(AE8,AE11)-AE14</f>
        <v>17046.867655653456</v>
      </c>
      <c r="AF13" s="184">
        <f t="shared" ref="AF13" si="44">SUM(AF8,AF11)-AF14</f>
        <v>17046.867655653456</v>
      </c>
      <c r="AG13" s="179">
        <f>SUM(AG8,AG11)-AG14-AG12</f>
        <v>34093.73487322891</v>
      </c>
      <c r="AH13" s="183">
        <f t="shared" ref="AH13" si="45">SUM(AH8,AH11)-AH14</f>
        <v>16576.21343277979</v>
      </c>
      <c r="AI13" s="184">
        <f t="shared" ref="AI13" si="46">SUM(AI8,AI11)-AI14</f>
        <v>16576.21343277979</v>
      </c>
      <c r="AJ13" s="179">
        <f>SUM(AJ8,AJ11)-AJ14-AJ12</f>
        <v>33152.427000000003</v>
      </c>
      <c r="AK13" s="183">
        <f t="shared" ref="AK13" si="47">SUM(AK8,AK11)-AK14</f>
        <v>82579.379397778874</v>
      </c>
      <c r="AL13" s="184">
        <f t="shared" ref="AL13" si="48">SUM(AL8,AL11)-AL14</f>
        <v>82579.379397778874</v>
      </c>
      <c r="AM13" s="179">
        <f>SUM(AM8,AM11)-AM14-AM12</f>
        <v>162625.6467508839</v>
      </c>
      <c r="AN13" s="183">
        <f t="shared" ref="AN13" si="49">SUM(AN8,AN11)-AN14</f>
        <v>6599.0157759007034</v>
      </c>
      <c r="AO13" s="184">
        <f t="shared" ref="AO13" si="50">SUM(AO8,AO11)-AO14</f>
        <v>6599.0157759007034</v>
      </c>
      <c r="AP13" s="179">
        <f>SUM(AP8,AP11)-AP14-AP12</f>
        <v>13198.031999999999</v>
      </c>
    </row>
    <row r="14" spans="1:42" s="55" customFormat="1" ht="15" x14ac:dyDescent="0.2">
      <c r="A14" s="84" t="s">
        <v>9</v>
      </c>
      <c r="B14" s="70" t="s">
        <v>96</v>
      </c>
      <c r="C14" s="66" t="s">
        <v>90</v>
      </c>
      <c r="D14" s="183">
        <f t="shared" ref="D14:E14" si="51">SUM(D15:D16)</f>
        <v>1170.2772018984936</v>
      </c>
      <c r="E14" s="184">
        <f t="shared" si="51"/>
        <v>1170.2772018984936</v>
      </c>
      <c r="F14" s="179">
        <f>SUM(F15:F16)</f>
        <v>2340.5544037969871</v>
      </c>
      <c r="G14" s="183">
        <f t="shared" ref="G14" si="52">SUM(G15:G16)</f>
        <v>4672.5</v>
      </c>
      <c r="H14" s="184">
        <f t="shared" ref="H14" si="53">SUM(H15:H16)</f>
        <v>4672.5</v>
      </c>
      <c r="I14" s="179">
        <f>SUM(I15:I16)</f>
        <v>9345</v>
      </c>
      <c r="J14" s="183">
        <f t="shared" ref="J14" si="54">SUM(J15:J16)</f>
        <v>393.74944775544429</v>
      </c>
      <c r="K14" s="184">
        <f t="shared" ref="K14" si="55">SUM(K15:K16)</f>
        <v>393.74944775544429</v>
      </c>
      <c r="L14" s="179">
        <f>SUM(L15:L16)</f>
        <v>787.49889551088859</v>
      </c>
      <c r="M14" s="183">
        <f t="shared" ref="M14" si="56">SUM(M15:M16)</f>
        <v>2103.5</v>
      </c>
      <c r="N14" s="184">
        <f t="shared" ref="N14" si="57">SUM(N15:N16)</f>
        <v>2103.5</v>
      </c>
      <c r="O14" s="179">
        <f>SUM(O15:O16)</f>
        <v>4207</v>
      </c>
      <c r="P14" s="183">
        <f t="shared" ref="P14" si="58">SUM(P15:P16)</f>
        <v>646.5</v>
      </c>
      <c r="Q14" s="184">
        <f t="shared" ref="Q14" si="59">SUM(Q15:Q16)</f>
        <v>646.5</v>
      </c>
      <c r="R14" s="179">
        <f>SUM(R15:R16)</f>
        <v>1293</v>
      </c>
      <c r="S14" s="183">
        <f t="shared" ref="S14" si="60">SUM(S15:S16)</f>
        <v>177.85</v>
      </c>
      <c r="T14" s="184">
        <f t="shared" ref="T14" si="61">SUM(T15:T16)</f>
        <v>177.85</v>
      </c>
      <c r="U14" s="179">
        <f>SUM(U15:U16)</f>
        <v>355.7</v>
      </c>
      <c r="V14" s="183">
        <f t="shared" ref="V14" si="62">SUM(V15:V16)</f>
        <v>794.25</v>
      </c>
      <c r="W14" s="184">
        <f t="shared" ref="W14" si="63">SUM(W15:W16)</f>
        <v>794.25</v>
      </c>
      <c r="X14" s="179">
        <f>SUM(X15:X16)</f>
        <v>1588.5</v>
      </c>
      <c r="Y14" s="183">
        <f t="shared" ref="Y14" si="64">SUM(Y15:Y16)</f>
        <v>525.72515032818478</v>
      </c>
      <c r="Z14" s="184">
        <f t="shared" ref="Z14" si="65">SUM(Z15:Z16)</f>
        <v>525.72515032818478</v>
      </c>
      <c r="AA14" s="179">
        <f>SUM(AA15:AA16)</f>
        <v>1051.4503006563696</v>
      </c>
      <c r="AB14" s="183">
        <f t="shared" ref="AB14" si="66">SUM(AB15:AB16)</f>
        <v>2091.6399288054681</v>
      </c>
      <c r="AC14" s="184">
        <f t="shared" ref="AC14" si="67">SUM(AC15:AC16)</f>
        <v>2091.6399288054681</v>
      </c>
      <c r="AD14" s="179">
        <f>SUM(AD15:AD16)</f>
        <v>4183.2798576109362</v>
      </c>
      <c r="AE14" s="183">
        <f t="shared" ref="AE14" si="68">SUM(AE15:AE16)</f>
        <v>1732.5930633855476</v>
      </c>
      <c r="AF14" s="184">
        <f t="shared" ref="AF14" si="69">SUM(AF15:AF16)</f>
        <v>1732.5930633855476</v>
      </c>
      <c r="AG14" s="179">
        <f>SUM(AG15:AG16)</f>
        <v>3465.1861267710951</v>
      </c>
      <c r="AH14" s="183">
        <f t="shared" ref="AH14" si="70">SUM(AH15:AH16)</f>
        <v>5553</v>
      </c>
      <c r="AI14" s="184">
        <f t="shared" ref="AI14" si="71">SUM(AI15:AI16)</f>
        <v>5553</v>
      </c>
      <c r="AJ14" s="179">
        <f>SUM(AJ15:AJ16)</f>
        <v>11106</v>
      </c>
      <c r="AK14" s="183">
        <f t="shared" ref="AK14" si="72">SUM(AK15:AK16)</f>
        <v>4431</v>
      </c>
      <c r="AL14" s="184">
        <f t="shared" ref="AL14" si="73">SUM(AL15:AL16)</f>
        <v>4431</v>
      </c>
      <c r="AM14" s="179">
        <f>SUM(AM15:AM16)</f>
        <v>8862</v>
      </c>
      <c r="AN14" s="183">
        <f t="shared" ref="AN14" si="74">SUM(AN15:AN16)</f>
        <v>2118.1</v>
      </c>
      <c r="AO14" s="184">
        <f t="shared" ref="AO14" si="75">SUM(AO15:AO16)</f>
        <v>2118.1</v>
      </c>
      <c r="AP14" s="179">
        <f>SUM(AP15:AP16)</f>
        <v>4236.2</v>
      </c>
    </row>
    <row r="15" spans="1:42" s="55" customFormat="1" ht="15" x14ac:dyDescent="0.2">
      <c r="A15" s="94" t="s">
        <v>97</v>
      </c>
      <c r="B15" s="73" t="s">
        <v>98</v>
      </c>
      <c r="C15" s="74" t="s">
        <v>90</v>
      </c>
      <c r="D15" s="183">
        <f>$F$15*0.5</f>
        <v>1170.2772018984936</v>
      </c>
      <c r="E15" s="184">
        <f>$F$15*0.5</f>
        <v>1170.2772018984936</v>
      </c>
      <c r="F15" s="179">
        <f>[7]Канч!$M$18</f>
        <v>2340.5544037969871</v>
      </c>
      <c r="G15" s="183">
        <f>I15*0.5</f>
        <v>4672.5</v>
      </c>
      <c r="H15" s="184">
        <f>I15*0.5</f>
        <v>4672.5</v>
      </c>
      <c r="I15" s="399">
        <f>[7]У_Копи!$M$18</f>
        <v>9345</v>
      </c>
      <c r="J15" s="183">
        <f>L15*0.5</f>
        <v>393.74944775544429</v>
      </c>
      <c r="K15" s="184">
        <f>L15*0.5</f>
        <v>393.74944775544429</v>
      </c>
      <c r="L15" s="399">
        <f>[7]Алькат!$M$18</f>
        <v>787.49889551088859</v>
      </c>
      <c r="M15" s="183">
        <f>O15*0.5</f>
        <v>2103.5</v>
      </c>
      <c r="N15" s="184">
        <f>O15*0.5</f>
        <v>2103.5</v>
      </c>
      <c r="O15" s="399">
        <f>[7]Беринг!$M$18</f>
        <v>4207</v>
      </c>
      <c r="P15" s="183">
        <f>R15*0.5</f>
        <v>646.5</v>
      </c>
      <c r="Q15" s="184">
        <f>R15*0.5</f>
        <v>646.5</v>
      </c>
      <c r="R15" s="399">
        <f>[7]Мейнып!$M$18</f>
        <v>1293</v>
      </c>
      <c r="S15" s="183">
        <f>U15*0.5</f>
        <v>177.85</v>
      </c>
      <c r="T15" s="184">
        <f>U15*0.5</f>
        <v>177.85</v>
      </c>
      <c r="U15" s="399">
        <f>[7]Хатыр!$M$18</f>
        <v>355.7</v>
      </c>
      <c r="V15" s="183">
        <f>X15*0.5</f>
        <v>794.25</v>
      </c>
      <c r="W15" s="184">
        <f>X15*0.5</f>
        <v>794.25</v>
      </c>
      <c r="X15" s="399">
        <f>[7]Ваеги!$M$18</f>
        <v>1588.5</v>
      </c>
      <c r="Y15" s="183">
        <f>AA15*0.5</f>
        <v>525.72515032818478</v>
      </c>
      <c r="Z15" s="184">
        <f>AA15*0.5</f>
        <v>525.72515032818478</v>
      </c>
      <c r="AA15" s="399">
        <f>[7]Снежн!$M$18</f>
        <v>1051.4503006563696</v>
      </c>
      <c r="AB15" s="183">
        <f>AD15*0.5</f>
        <v>2091.6399288054681</v>
      </c>
      <c r="AC15" s="184">
        <f>AD15*0.5</f>
        <v>2091.6399288054681</v>
      </c>
      <c r="AD15" s="399">
        <f>[7]Марк!$M$18</f>
        <v>4183.2798576109362</v>
      </c>
      <c r="AE15" s="183">
        <f>AG15*0.5</f>
        <v>1732.5930633855476</v>
      </c>
      <c r="AF15" s="184">
        <f>AG15*0.5</f>
        <v>1732.5930633855476</v>
      </c>
      <c r="AG15" s="399">
        <f>[7]У_Бел!$M$18</f>
        <v>3465.1861267710951</v>
      </c>
      <c r="AH15" s="183">
        <f>AJ15*0.5</f>
        <v>5553</v>
      </c>
      <c r="AI15" s="184">
        <f>AJ15*0.5</f>
        <v>5553</v>
      </c>
      <c r="AJ15" s="399">
        <f>[7]Н_Чапл!$M$18</f>
        <v>11106</v>
      </c>
      <c r="AK15" s="183">
        <f>AM15*0.5</f>
        <v>4431</v>
      </c>
      <c r="AL15" s="184">
        <f>AM15*0.5</f>
        <v>4431</v>
      </c>
      <c r="AM15" s="399">
        <f>[7]Провид!$M$18</f>
        <v>8862</v>
      </c>
      <c r="AN15" s="183">
        <f>AP15*0.5</f>
        <v>2118.1</v>
      </c>
      <c r="AO15" s="184">
        <f>AP15*0.5</f>
        <v>2118.1</v>
      </c>
      <c r="AP15" s="399">
        <f>[7]Сирен!$M$18</f>
        <v>4236.2</v>
      </c>
    </row>
    <row r="16" spans="1:42" s="55" customFormat="1" ht="15" x14ac:dyDescent="0.2">
      <c r="A16" s="84" t="s">
        <v>99</v>
      </c>
      <c r="B16" s="73" t="s">
        <v>100</v>
      </c>
      <c r="C16" s="66" t="s">
        <v>90</v>
      </c>
      <c r="D16" s="183"/>
      <c r="E16" s="184"/>
      <c r="F16" s="179">
        <v>0</v>
      </c>
      <c r="G16" s="183"/>
      <c r="H16" s="184"/>
      <c r="I16" s="179">
        <v>0</v>
      </c>
      <c r="J16" s="183"/>
      <c r="K16" s="184"/>
      <c r="L16" s="179">
        <v>0</v>
      </c>
      <c r="M16" s="183"/>
      <c r="N16" s="184"/>
      <c r="O16" s="179">
        <v>0</v>
      </c>
      <c r="P16" s="183"/>
      <c r="Q16" s="184"/>
      <c r="R16" s="179">
        <v>0</v>
      </c>
      <c r="S16" s="183"/>
      <c r="T16" s="184"/>
      <c r="U16" s="179">
        <v>0</v>
      </c>
      <c r="V16" s="183"/>
      <c r="W16" s="184"/>
      <c r="X16" s="179">
        <v>0</v>
      </c>
      <c r="Y16" s="183"/>
      <c r="Z16" s="184"/>
      <c r="AA16" s="179">
        <v>0</v>
      </c>
      <c r="AB16" s="183"/>
      <c r="AC16" s="184"/>
      <c r="AD16" s="179">
        <v>0</v>
      </c>
      <c r="AE16" s="183"/>
      <c r="AF16" s="184"/>
      <c r="AG16" s="179">
        <v>0</v>
      </c>
      <c r="AH16" s="183"/>
      <c r="AI16" s="184"/>
      <c r="AJ16" s="179">
        <v>0</v>
      </c>
      <c r="AK16" s="183"/>
      <c r="AL16" s="184"/>
      <c r="AM16" s="179">
        <v>0</v>
      </c>
      <c r="AN16" s="183"/>
      <c r="AO16" s="184"/>
      <c r="AP16" s="179">
        <v>0</v>
      </c>
    </row>
    <row r="17" spans="1:42" s="80" customFormat="1" ht="19.5" customHeight="1" x14ac:dyDescent="0.2">
      <c r="A17" s="85" t="s">
        <v>10</v>
      </c>
      <c r="B17" s="76" t="s">
        <v>101</v>
      </c>
      <c r="C17" s="77" t="s">
        <v>90</v>
      </c>
      <c r="D17" s="395">
        <f t="shared" ref="D17:E17" si="76">ROUND(SUM(D18),3)</f>
        <v>1277.684</v>
      </c>
      <c r="E17" s="192">
        <f t="shared" si="76"/>
        <v>1277.684</v>
      </c>
      <c r="F17" s="182">
        <f>ROUND(SUM(F18),3)</f>
        <v>2555.3670000000002</v>
      </c>
      <c r="G17" s="395">
        <f t="shared" ref="G17" si="77">ROUND(SUM(G18),3)</f>
        <v>59065.915000000001</v>
      </c>
      <c r="H17" s="192">
        <f t="shared" ref="H17" si="78">ROUND(SUM(H18),3)</f>
        <v>59065.915000000001</v>
      </c>
      <c r="I17" s="182">
        <f>ROUND(SUM(I18),3)</f>
        <v>118131.83</v>
      </c>
      <c r="J17" s="395">
        <f t="shared" ref="J17" si="79">ROUND(SUM(J18),3)</f>
        <v>5121.3729999999996</v>
      </c>
      <c r="K17" s="192">
        <f t="shared" ref="K17" si="80">ROUND(SUM(K18),3)</f>
        <v>5121.3729999999996</v>
      </c>
      <c r="L17" s="182">
        <f>ROUND(SUM(L18),3)</f>
        <v>10242.745000000001</v>
      </c>
      <c r="M17" s="395">
        <f t="shared" ref="M17" si="81">ROUND(SUM(M18),3)</f>
        <v>35783.332999999999</v>
      </c>
      <c r="N17" s="192">
        <f t="shared" ref="N17" si="82">ROUND(SUM(N18),3)</f>
        <v>35783.332999999999</v>
      </c>
      <c r="O17" s="182">
        <f>ROUND(SUM(O18),3)</f>
        <v>71566.667000000001</v>
      </c>
      <c r="P17" s="395">
        <f t="shared" ref="P17" si="83">ROUND(SUM(P18),3)</f>
        <v>1670.865</v>
      </c>
      <c r="Q17" s="192">
        <f t="shared" ref="Q17" si="84">ROUND(SUM(Q18),3)</f>
        <v>1670.865</v>
      </c>
      <c r="R17" s="182">
        <f>ROUND(SUM(R18),3)</f>
        <v>3341.73</v>
      </c>
      <c r="S17" s="395">
        <f t="shared" ref="S17" si="85">ROUND(SUM(S18),3)</f>
        <v>1392.904</v>
      </c>
      <c r="T17" s="192">
        <f t="shared" ref="T17" si="86">ROUND(SUM(T18),3)</f>
        <v>1392.904</v>
      </c>
      <c r="U17" s="182">
        <f>ROUND(SUM(U18),3)</f>
        <v>2785.8090000000002</v>
      </c>
      <c r="V17" s="395">
        <f t="shared" ref="V17" si="87">ROUND(SUM(V18),3)</f>
        <v>196.935</v>
      </c>
      <c r="W17" s="192">
        <f t="shared" ref="W17" si="88">ROUND(SUM(W18),3)</f>
        <v>196.935</v>
      </c>
      <c r="X17" s="182">
        <f>ROUND(SUM(X18),3)</f>
        <v>393.87</v>
      </c>
      <c r="Y17" s="395">
        <f t="shared" ref="Y17" si="89">ROUND(SUM(Y18),3)</f>
        <v>395.11500000000001</v>
      </c>
      <c r="Z17" s="192">
        <f t="shared" ref="Z17" si="90">ROUND(SUM(Z18),3)</f>
        <v>395.11500000000001</v>
      </c>
      <c r="AA17" s="182">
        <f>ROUND(SUM(AA18),3)</f>
        <v>790.23</v>
      </c>
      <c r="AB17" s="395">
        <f t="shared" ref="AB17" si="91">ROUND(SUM(AB18),3)</f>
        <v>747.23299999999995</v>
      </c>
      <c r="AC17" s="192">
        <f t="shared" ref="AC17" si="92">ROUND(SUM(AC18),3)</f>
        <v>747.23299999999995</v>
      </c>
      <c r="AD17" s="182">
        <f>ROUND(SUM(AD18),3)</f>
        <v>1494.4649999999999</v>
      </c>
      <c r="AE17" s="395">
        <f t="shared" ref="AE17" si="93">ROUND(SUM(AE18),3)</f>
        <v>2742.2330000000002</v>
      </c>
      <c r="AF17" s="192">
        <f t="shared" ref="AF17" si="94">ROUND(SUM(AF18),3)</f>
        <v>2742.2330000000002</v>
      </c>
      <c r="AG17" s="182">
        <f>ROUND(SUM(AG18),3)</f>
        <v>5484.4650000000001</v>
      </c>
      <c r="AH17" s="395">
        <f t="shared" ref="AH17" si="95">ROUND(SUM(AH18),3)</f>
        <v>3263.19</v>
      </c>
      <c r="AI17" s="192">
        <f t="shared" ref="AI17" si="96">ROUND(SUM(AI18),3)</f>
        <v>3263.19</v>
      </c>
      <c r="AJ17" s="182">
        <f>ROUND(SUM(AJ18),3)</f>
        <v>6526.38</v>
      </c>
      <c r="AK17" s="395">
        <f t="shared" ref="AK17" si="97">ROUND(SUM(AK18),3)</f>
        <v>40078.027999999998</v>
      </c>
      <c r="AL17" s="192">
        <f t="shared" ref="AL17" si="98">ROUND(SUM(AL18),3)</f>
        <v>40078.027999999998</v>
      </c>
      <c r="AM17" s="182">
        <f>ROUND(SUM(AM18),3)</f>
        <v>80156.055999999997</v>
      </c>
      <c r="AN17" s="395">
        <f t="shared" ref="AN17" si="99">ROUND(SUM(AN18),3)</f>
        <v>4008.6770000000001</v>
      </c>
      <c r="AO17" s="192">
        <f t="shared" ref="AO17" si="100">ROUND(SUM(AO18),3)</f>
        <v>4008.6770000000001</v>
      </c>
      <c r="AP17" s="182">
        <f>ROUND(SUM(AP18),3)</f>
        <v>8017.3549999999996</v>
      </c>
    </row>
    <row r="18" spans="1:42" s="55" customFormat="1" ht="15" x14ac:dyDescent="0.2">
      <c r="A18" s="61" t="s">
        <v>102</v>
      </c>
      <c r="B18" s="70" t="s">
        <v>103</v>
      </c>
      <c r="C18" s="66" t="s">
        <v>90</v>
      </c>
      <c r="D18" s="183">
        <f>SUM(D19:D21)</f>
        <v>1277.683575</v>
      </c>
      <c r="E18" s="184">
        <f>SUM(E19:E21)</f>
        <v>1277.683575</v>
      </c>
      <c r="F18" s="180">
        <f>[7]Канч!$M$22</f>
        <v>2555.3671500000005</v>
      </c>
      <c r="G18" s="183">
        <f>SUM(G19:G21)</f>
        <v>59065.91485278395</v>
      </c>
      <c r="H18" s="184">
        <f>SUM(H19:H21)</f>
        <v>59065.91485278395</v>
      </c>
      <c r="I18" s="401">
        <f>[7]У_Копи!$M$22</f>
        <v>118131.82970556788</v>
      </c>
      <c r="J18" s="183">
        <f>SUM(J19:J21)</f>
        <v>5121.3726338999995</v>
      </c>
      <c r="K18" s="184">
        <f>SUM(K19:K21)</f>
        <v>5121.3726338999995</v>
      </c>
      <c r="L18" s="401">
        <f>[7]Алькат!$M$22</f>
        <v>10242.745267799999</v>
      </c>
      <c r="M18" s="183">
        <f>SUM(M19:M21)</f>
        <v>35783.333282710992</v>
      </c>
      <c r="N18" s="184">
        <f>SUM(N19:N21)</f>
        <v>35783.333282710992</v>
      </c>
      <c r="O18" s="401">
        <f>[7]Беринг!$M$22</f>
        <v>71566.666565421983</v>
      </c>
      <c r="P18" s="183">
        <f>SUM(P19:P21)</f>
        <v>1670.8649999999998</v>
      </c>
      <c r="Q18" s="184">
        <f>SUM(Q19:Q21)</f>
        <v>1670.8649999999998</v>
      </c>
      <c r="R18" s="401">
        <f>[7]Мейнып!$M$22</f>
        <v>3341.73</v>
      </c>
      <c r="S18" s="183">
        <f>SUM(S19:S21)</f>
        <v>1392.9042597750001</v>
      </c>
      <c r="T18" s="184">
        <f>SUM(T19:T21)</f>
        <v>1392.9042597750001</v>
      </c>
      <c r="U18" s="401">
        <f>[7]Хатыр!$M$22</f>
        <v>2785.8085195499998</v>
      </c>
      <c r="V18" s="183">
        <f>SUM(V19:V21)</f>
        <v>196.93499999999995</v>
      </c>
      <c r="W18" s="184">
        <f>SUM(W19:W21)</f>
        <v>196.93499999999995</v>
      </c>
      <c r="X18" s="401">
        <f>[7]Ваеги!$M$22</f>
        <v>393.86999999999995</v>
      </c>
      <c r="Y18" s="183">
        <f>SUM(Y19:Y21)</f>
        <v>395.1149999999999</v>
      </c>
      <c r="Z18" s="184">
        <f>SUM(Z19:Z21)</f>
        <v>395.1149999999999</v>
      </c>
      <c r="AA18" s="401">
        <f>[7]Снежн!$M$22</f>
        <v>790.2299999999999</v>
      </c>
      <c r="AB18" s="183">
        <f>SUM(AB19:AB21)</f>
        <v>747.23250000000007</v>
      </c>
      <c r="AC18" s="184">
        <f>SUM(AC19:AC21)</f>
        <v>747.23250000000007</v>
      </c>
      <c r="AD18" s="401">
        <f>[7]Марк!$M$22</f>
        <v>1494.4650000000001</v>
      </c>
      <c r="AE18" s="183">
        <f>SUM(AE19:AE21)</f>
        <v>2742.2325000000001</v>
      </c>
      <c r="AF18" s="184">
        <f>SUM(AF19:AF21)</f>
        <v>2742.2325000000001</v>
      </c>
      <c r="AG18" s="401">
        <f>[7]У_Бел!$M$22</f>
        <v>5484.4649999999992</v>
      </c>
      <c r="AH18" s="183">
        <f>SUM(AH19:AH21)</f>
        <v>3263.1899999999996</v>
      </c>
      <c r="AI18" s="184">
        <f>SUM(AI19:AI21)</f>
        <v>3263.1899999999996</v>
      </c>
      <c r="AJ18" s="401">
        <f>[7]Н_Чапл!$M$22</f>
        <v>6526.38</v>
      </c>
      <c r="AK18" s="183">
        <f>SUM(AK19:AK21)</f>
        <v>40078.027940100008</v>
      </c>
      <c r="AL18" s="184">
        <f>SUM(AL19:AL21)</f>
        <v>40078.027940100008</v>
      </c>
      <c r="AM18" s="401">
        <f>[7]Провид!$M$22</f>
        <v>80156.055880200016</v>
      </c>
      <c r="AN18" s="183">
        <f>SUM(AN19:AN21)</f>
        <v>4008.6774498249988</v>
      </c>
      <c r="AO18" s="184">
        <f>SUM(AO19:AO21)</f>
        <v>4008.6774498249988</v>
      </c>
      <c r="AP18" s="401">
        <f>[7]Сирен!$M$22</f>
        <v>8017.3548996499985</v>
      </c>
    </row>
    <row r="19" spans="1:42" s="55" customFormat="1" ht="15" x14ac:dyDescent="0.2">
      <c r="A19" s="84" t="s">
        <v>104</v>
      </c>
      <c r="B19" s="83" t="s">
        <v>105</v>
      </c>
      <c r="C19" s="74" t="s">
        <v>90</v>
      </c>
      <c r="D19" s="183">
        <f>F19*0.5</f>
        <v>25.628796220012795</v>
      </c>
      <c r="E19" s="184">
        <f>F19*0.5</f>
        <v>25.628796220012795</v>
      </c>
      <c r="F19" s="179">
        <f>$F$18*'раздел 2 2022'!F53</f>
        <v>51.25759244002559</v>
      </c>
      <c r="G19" s="183">
        <f>I19*0.5</f>
        <v>34435.500795166467</v>
      </c>
      <c r="H19" s="184">
        <f>I19*0.5</f>
        <v>34435.500795166467</v>
      </c>
      <c r="I19" s="179">
        <f>I18*'раздел 2 2022'!I53</f>
        <v>68871.001590332933</v>
      </c>
      <c r="J19" s="183">
        <f>L19*0.5</f>
        <v>2085.6001338999995</v>
      </c>
      <c r="K19" s="184">
        <f>L19*0.5</f>
        <v>2085.6001338999995</v>
      </c>
      <c r="L19" s="179">
        <f>L18*'раздел 2 2022'!L53</f>
        <v>4171.200267799999</v>
      </c>
      <c r="M19" s="183">
        <f>O19*0.5</f>
        <v>25920.905832242654</v>
      </c>
      <c r="N19" s="184">
        <f>O19*0.5</f>
        <v>25920.905832242654</v>
      </c>
      <c r="O19" s="179">
        <f>O18*'раздел 2 2022'!O53</f>
        <v>51841.811664485307</v>
      </c>
      <c r="P19" s="183">
        <f>R19*0.5</f>
        <v>449.22374009511236</v>
      </c>
      <c r="Q19" s="184">
        <f>R19*0.5</f>
        <v>449.22374009511236</v>
      </c>
      <c r="R19" s="179">
        <f>R18*'раздел 2 2022'!R53</f>
        <v>898.44748019022472</v>
      </c>
      <c r="S19" s="183">
        <f>U19*0.5</f>
        <v>1060.264259775</v>
      </c>
      <c r="T19" s="184">
        <f>U19*0.5</f>
        <v>1060.264259775</v>
      </c>
      <c r="U19" s="179">
        <f>U18*'раздел 2 2022'!U53</f>
        <v>2120.5285195500001</v>
      </c>
      <c r="V19" s="183">
        <f>X19*0.5</f>
        <v>0</v>
      </c>
      <c r="W19" s="184">
        <f>X19*0.5</f>
        <v>0</v>
      </c>
      <c r="X19" s="179">
        <f>X18*'раздел 2 2022'!X53</f>
        <v>0</v>
      </c>
      <c r="Y19" s="183">
        <f>AA19*0.5</f>
        <v>0</v>
      </c>
      <c r="Z19" s="184">
        <f>AA19*0.5</f>
        <v>0</v>
      </c>
      <c r="AA19" s="179">
        <f>AA18*'раздел 2 2022'!AA53</f>
        <v>0</v>
      </c>
      <c r="AB19" s="183">
        <f>AD19*0.5</f>
        <v>0</v>
      </c>
      <c r="AC19" s="184">
        <f>AD19*0.5</f>
        <v>0</v>
      </c>
      <c r="AD19" s="179">
        <f>AD18*'раздел 2 2022'!AD53</f>
        <v>0</v>
      </c>
      <c r="AE19" s="183">
        <f>AG19*0.5</f>
        <v>2375.8349755889303</v>
      </c>
      <c r="AF19" s="184">
        <f>AG19*0.5</f>
        <v>2375.8349755889303</v>
      </c>
      <c r="AG19" s="179">
        <f>AG18*'раздел 2 2022'!AG53</f>
        <v>4751.6699511778606</v>
      </c>
      <c r="AH19" s="183">
        <f>AJ19*0.5</f>
        <v>0</v>
      </c>
      <c r="AI19" s="184">
        <f>AJ19*0.5</f>
        <v>0</v>
      </c>
      <c r="AJ19" s="179">
        <f>AJ18*'раздел 2 2022'!AJ53</f>
        <v>0</v>
      </c>
      <c r="AK19" s="183">
        <f>AM19*0.5</f>
        <v>2376.0652679525042</v>
      </c>
      <c r="AL19" s="184">
        <f>AM19*0.5</f>
        <v>2376.0652679525042</v>
      </c>
      <c r="AM19" s="179">
        <f>AM18*'раздел 2 2022'!AM53</f>
        <v>4752.1305359050084</v>
      </c>
      <c r="AN19" s="183">
        <f>AP19*0.5</f>
        <v>2208.6646554864296</v>
      </c>
      <c r="AO19" s="184">
        <f>AP19*0.5</f>
        <v>2208.6646554864296</v>
      </c>
      <c r="AP19" s="179">
        <f>AP18*'раздел 2 2022'!AP53</f>
        <v>4417.3293109728593</v>
      </c>
    </row>
    <row r="20" spans="1:42" s="55" customFormat="1" ht="15" x14ac:dyDescent="0.2">
      <c r="A20" s="84" t="s">
        <v>106</v>
      </c>
      <c r="B20" s="73" t="s">
        <v>107</v>
      </c>
      <c r="C20" s="66" t="s">
        <v>90</v>
      </c>
      <c r="D20" s="183">
        <f>F20*0.5</f>
        <v>974.95634744631627</v>
      </c>
      <c r="E20" s="184">
        <f>F20*0.5</f>
        <v>974.95634744631627</v>
      </c>
      <c r="F20" s="179">
        <f>$F$18*'раздел 2 2022'!F54</f>
        <v>1949.9126948926325</v>
      </c>
      <c r="G20" s="183">
        <f>I20*0.5</f>
        <v>22990.581814927107</v>
      </c>
      <c r="H20" s="184">
        <f>I20*0.5</f>
        <v>22990.581814927107</v>
      </c>
      <c r="I20" s="179">
        <f>I18*'раздел 2 2022'!I54</f>
        <v>45981.163629854214</v>
      </c>
      <c r="J20" s="183">
        <f>L20*0.5</f>
        <v>3030.0249999999996</v>
      </c>
      <c r="K20" s="184">
        <f>L20*0.5</f>
        <v>3030.0249999999996</v>
      </c>
      <c r="L20" s="179">
        <f>L18*'раздел 2 2022'!L54</f>
        <v>6060.0499999999993</v>
      </c>
      <c r="M20" s="183">
        <f>O20*0.5</f>
        <v>8033.0127009759362</v>
      </c>
      <c r="N20" s="184">
        <f>O20*0.5</f>
        <v>8033.0127009759362</v>
      </c>
      <c r="O20" s="179">
        <f>O18*'раздел 2 2022'!O54</f>
        <v>16066.025401951872</v>
      </c>
      <c r="P20" s="183">
        <f>R20*0.5</f>
        <v>707.18585976702195</v>
      </c>
      <c r="Q20" s="184">
        <f>R20*0.5</f>
        <v>707.18585976702195</v>
      </c>
      <c r="R20" s="179">
        <f>R18*'раздел 2 2022'!R54</f>
        <v>1414.3717195340439</v>
      </c>
      <c r="S20" s="183">
        <f>U20*0.5</f>
        <v>274.57500000000005</v>
      </c>
      <c r="T20" s="184">
        <f>U20*0.5</f>
        <v>274.57500000000005</v>
      </c>
      <c r="U20" s="179">
        <f>U18*'раздел 2 2022'!U54</f>
        <v>549.15000000000009</v>
      </c>
      <c r="V20" s="183">
        <f>X20*0.5</f>
        <v>117.79999999999997</v>
      </c>
      <c r="W20" s="184">
        <f>X20*0.5</f>
        <v>117.79999999999997</v>
      </c>
      <c r="X20" s="179">
        <f>X18*'раздел 2 2022'!X54</f>
        <v>235.59999999999994</v>
      </c>
      <c r="Y20" s="183">
        <f>AA20*0.5</f>
        <v>278.24999999999994</v>
      </c>
      <c r="Z20" s="184">
        <f>AA20*0.5</f>
        <v>278.24999999999994</v>
      </c>
      <c r="AA20" s="179">
        <f>AA18*'раздел 2 2022'!AA54</f>
        <v>556.49999999999989</v>
      </c>
      <c r="AB20" s="183">
        <f>AD20*0.5</f>
        <v>458.85000000000008</v>
      </c>
      <c r="AC20" s="184">
        <f>AD20*0.5</f>
        <v>458.85000000000008</v>
      </c>
      <c r="AD20" s="179">
        <f>AD18*'раздел 2 2022'!AD54</f>
        <v>917.70000000000016</v>
      </c>
      <c r="AE20" s="183">
        <f>AG20*0.5</f>
        <v>350.70002336523044</v>
      </c>
      <c r="AF20" s="184">
        <f>AG20*0.5</f>
        <v>350.70002336523044</v>
      </c>
      <c r="AG20" s="179">
        <f>AG18*'раздел 2 2022'!AG54</f>
        <v>701.40004673046087</v>
      </c>
      <c r="AH20" s="183">
        <f>AJ20*0.5</f>
        <v>3223.4999999999995</v>
      </c>
      <c r="AI20" s="184">
        <f>AJ20*0.5</f>
        <v>3223.4999999999995</v>
      </c>
      <c r="AJ20" s="179">
        <f>AJ18*'раздел 2 2022'!AJ54</f>
        <v>6446.9999999999991</v>
      </c>
      <c r="AK20" s="183">
        <f>AM20*0.5</f>
        <v>37192.993244289428</v>
      </c>
      <c r="AL20" s="184">
        <f>AM20*0.5</f>
        <v>37192.993244289428</v>
      </c>
      <c r="AM20" s="179">
        <f>AM18*'раздел 2 2022'!AM54</f>
        <v>74385.986488578856</v>
      </c>
      <c r="AN20" s="183">
        <f>AP20*0.5</f>
        <v>995.1251627231303</v>
      </c>
      <c r="AO20" s="184">
        <f>AP20*0.5</f>
        <v>995.1251627231303</v>
      </c>
      <c r="AP20" s="179">
        <f>AP18*'раздел 2 2022'!AP54</f>
        <v>1990.2503254462606</v>
      </c>
    </row>
    <row r="21" spans="1:42" s="55" customFormat="1" ht="15" x14ac:dyDescent="0.2">
      <c r="A21" s="84" t="s">
        <v>108</v>
      </c>
      <c r="B21" s="73" t="s">
        <v>109</v>
      </c>
      <c r="C21" s="66" t="s">
        <v>90</v>
      </c>
      <c r="D21" s="183">
        <f>F21*0.5</f>
        <v>277.09843133367104</v>
      </c>
      <c r="E21" s="184">
        <f>F21*0.5</f>
        <v>277.09843133367104</v>
      </c>
      <c r="F21" s="179">
        <f>$F$18*'раздел 2 2022'!F55</f>
        <v>554.19686266734209</v>
      </c>
      <c r="G21" s="183">
        <f>I21*0.5</f>
        <v>1639.8322426903728</v>
      </c>
      <c r="H21" s="184">
        <f>I21*0.5</f>
        <v>1639.8322426903728</v>
      </c>
      <c r="I21" s="179">
        <f>I18*'раздел 2 2022'!I55</f>
        <v>3279.6644853807456</v>
      </c>
      <c r="J21" s="183">
        <f>L21*0.5</f>
        <v>5.7475000000000005</v>
      </c>
      <c r="K21" s="184">
        <f>L21*0.5</f>
        <v>5.7475000000000005</v>
      </c>
      <c r="L21" s="179">
        <f>L18*'раздел 2 2022'!L55</f>
        <v>11.495000000000001</v>
      </c>
      <c r="M21" s="183">
        <f>O21*0.5</f>
        <v>1829.4147494924007</v>
      </c>
      <c r="N21" s="184">
        <f>O21*0.5</f>
        <v>1829.4147494924007</v>
      </c>
      <c r="O21" s="179">
        <f>O18*'раздел 2 2022'!O55</f>
        <v>3658.8294989848014</v>
      </c>
      <c r="P21" s="183">
        <f>R21*0.5</f>
        <v>514.45540013786558</v>
      </c>
      <c r="Q21" s="184">
        <f>R21*0.5</f>
        <v>514.45540013786558</v>
      </c>
      <c r="R21" s="179">
        <f>R18*'раздел 2 2022'!R55</f>
        <v>1028.9108002757312</v>
      </c>
      <c r="S21" s="183">
        <f>U21*0.5</f>
        <v>58.065000000000005</v>
      </c>
      <c r="T21" s="184">
        <f>U21*0.5</f>
        <v>58.065000000000005</v>
      </c>
      <c r="U21" s="179">
        <f>U18*'раздел 2 2022'!U55</f>
        <v>116.13000000000001</v>
      </c>
      <c r="V21" s="183">
        <f>X21*0.5</f>
        <v>79.134999999999977</v>
      </c>
      <c r="W21" s="184">
        <f>X21*0.5</f>
        <v>79.134999999999977</v>
      </c>
      <c r="X21" s="179">
        <f>X18*'раздел 2 2022'!X55</f>
        <v>158.26999999999995</v>
      </c>
      <c r="Y21" s="183">
        <f>AA21*0.5</f>
        <v>116.86499999999998</v>
      </c>
      <c r="Z21" s="184">
        <f>AA21*0.5</f>
        <v>116.86499999999998</v>
      </c>
      <c r="AA21" s="179">
        <f>AA18*'раздел 2 2022'!AA55</f>
        <v>233.72999999999996</v>
      </c>
      <c r="AB21" s="183">
        <f>AD21*0.5</f>
        <v>288.38249999999999</v>
      </c>
      <c r="AC21" s="184">
        <f>AD21*0.5</f>
        <v>288.38249999999999</v>
      </c>
      <c r="AD21" s="179">
        <f>AD18*'раздел 2 2022'!AD55</f>
        <v>576.76499999999999</v>
      </c>
      <c r="AE21" s="183">
        <f>AG21*0.5</f>
        <v>15.697501045838919</v>
      </c>
      <c r="AF21" s="184">
        <f>AG21*0.5</f>
        <v>15.697501045838919</v>
      </c>
      <c r="AG21" s="179">
        <f>AG18*'раздел 2 2022'!AG55</f>
        <v>31.395002091677839</v>
      </c>
      <c r="AH21" s="183">
        <f>AJ21*0.5</f>
        <v>39.69</v>
      </c>
      <c r="AI21" s="184">
        <f>AJ21*0.5</f>
        <v>39.69</v>
      </c>
      <c r="AJ21" s="179">
        <f>AJ18*'раздел 2 2022'!AJ55</f>
        <v>79.38</v>
      </c>
      <c r="AK21" s="183">
        <f>AM21*0.5</f>
        <v>508.96942785807693</v>
      </c>
      <c r="AL21" s="184">
        <f>AM21*0.5</f>
        <v>508.96942785807693</v>
      </c>
      <c r="AM21" s="179">
        <f>AM18*'раздел 2 2022'!AM55</f>
        <v>1017.9388557161539</v>
      </c>
      <c r="AN21" s="183">
        <f>AP21*0.5</f>
        <v>804.88763161543898</v>
      </c>
      <c r="AO21" s="184">
        <f>AP21*0.5</f>
        <v>804.88763161543898</v>
      </c>
      <c r="AP21" s="179">
        <f>AP18*'раздел 2 2022'!AP55</f>
        <v>1609.775263230878</v>
      </c>
    </row>
    <row r="22" spans="1:42" s="55" customFormat="1" ht="14.25" x14ac:dyDescent="0.2">
      <c r="A22" s="85" t="s">
        <v>41</v>
      </c>
      <c r="B22" s="68" t="s">
        <v>110</v>
      </c>
      <c r="C22" s="66" t="s">
        <v>90</v>
      </c>
      <c r="D22" s="395">
        <f>ROUND(SUM(D24,D31,D34),1)</f>
        <v>12847.8</v>
      </c>
      <c r="E22" s="192">
        <f>ROUND(SUM(E24,E31,E34),1)</f>
        <v>12847.8</v>
      </c>
      <c r="F22" s="182">
        <f>ROUND(SUM(F24,F31,F34),1)</f>
        <v>25695.599999999999</v>
      </c>
      <c r="G22" s="395">
        <f t="shared" ref="G22:H22" si="101">ROUND(SUM(G24,G31,G34),1)</f>
        <v>75876.7</v>
      </c>
      <c r="H22" s="192">
        <f t="shared" si="101"/>
        <v>75876.7</v>
      </c>
      <c r="I22" s="182">
        <f>ROUND(SUM(I24,I31,I34),1)</f>
        <v>151753.4</v>
      </c>
      <c r="J22" s="395">
        <f t="shared" ref="J22:K22" si="102">ROUND(SUM(J24,J31,J34),1)</f>
        <v>4971</v>
      </c>
      <c r="K22" s="192">
        <f t="shared" si="102"/>
        <v>4970.8999999999996</v>
      </c>
      <c r="L22" s="182">
        <f>ROUND(SUM(L24,L31,L34),1)</f>
        <v>9941.9</v>
      </c>
      <c r="M22" s="395">
        <f t="shared" ref="M22:N22" si="103">ROUND(SUM(M24,M31,M34),1)</f>
        <v>28468.1</v>
      </c>
      <c r="N22" s="192">
        <f t="shared" si="103"/>
        <v>28468.1</v>
      </c>
      <c r="O22" s="182">
        <f>ROUND(SUM(O24,O31,O34),1)</f>
        <v>56936.2</v>
      </c>
      <c r="P22" s="395">
        <f t="shared" ref="P22:Q22" si="104">ROUND(SUM(P24,P31,P34),1)</f>
        <v>8134</v>
      </c>
      <c r="Q22" s="192">
        <f t="shared" si="104"/>
        <v>8134</v>
      </c>
      <c r="R22" s="182">
        <f>ROUND(SUM(R24,R31,R34),1)</f>
        <v>16268.1</v>
      </c>
      <c r="S22" s="395">
        <f t="shared" ref="S22:T22" si="105">ROUND(SUM(S24,S31,S34),1)</f>
        <v>5614.8</v>
      </c>
      <c r="T22" s="192">
        <f t="shared" si="105"/>
        <v>5614.8</v>
      </c>
      <c r="U22" s="182">
        <f>ROUND(SUM(U24,U31,U34),1)</f>
        <v>11229.5</v>
      </c>
      <c r="V22" s="395">
        <f t="shared" ref="V22:W22" si="106">ROUND(SUM(V24,V31,V34),1)</f>
        <v>6100.3</v>
      </c>
      <c r="W22" s="192">
        <f t="shared" si="106"/>
        <v>6100.3</v>
      </c>
      <c r="X22" s="182">
        <f>ROUND(SUM(X24,X31,X34),1)</f>
        <v>12200.7</v>
      </c>
      <c r="Y22" s="395">
        <f t="shared" ref="Y22:Z22" si="107">ROUND(SUM(Y24,Y31,Y34),1)</f>
        <v>2064.9</v>
      </c>
      <c r="Z22" s="192">
        <f t="shared" si="107"/>
        <v>2064.9</v>
      </c>
      <c r="AA22" s="182">
        <f>ROUND(SUM(AA24,AA31,AA34),1)</f>
        <v>4129.8</v>
      </c>
      <c r="AB22" s="395">
        <f t="shared" ref="AB22:AC22" si="108">ROUND(SUM(AB24,AB31,AB34),1)</f>
        <v>18653.599999999999</v>
      </c>
      <c r="AC22" s="192">
        <f t="shared" si="108"/>
        <v>18653.599999999999</v>
      </c>
      <c r="AD22" s="182">
        <f>ROUND(SUM(AD24,AD31,AD34),1)</f>
        <v>37307.199999999997</v>
      </c>
      <c r="AE22" s="395">
        <f t="shared" ref="AE22:AF22" si="109">ROUND(SUM(AE24,AE31,AE34),1)</f>
        <v>14304.7</v>
      </c>
      <c r="AF22" s="192">
        <f t="shared" si="109"/>
        <v>14304.7</v>
      </c>
      <c r="AG22" s="182">
        <f>ROUND(SUM(AG24,AG31,AG34),1)</f>
        <v>28609.3</v>
      </c>
      <c r="AH22" s="395">
        <f t="shared" ref="AH22:AI22" si="110">ROUND(SUM(AH24,AH31,AH34),1)</f>
        <v>13313</v>
      </c>
      <c r="AI22" s="192">
        <f t="shared" si="110"/>
        <v>13313</v>
      </c>
      <c r="AJ22" s="182">
        <f>ROUND(SUM(AJ24,AJ31,AJ34),1)</f>
        <v>26626</v>
      </c>
      <c r="AK22" s="395">
        <f t="shared" ref="AK22:AL22" si="111">ROUND(SUM(AK24,AK31,AK34),1)</f>
        <v>41234.800000000003</v>
      </c>
      <c r="AL22" s="192">
        <f t="shared" si="111"/>
        <v>41234.800000000003</v>
      </c>
      <c r="AM22" s="182">
        <f>ROUND(SUM(AM24,AM31,AM34),1)</f>
        <v>82469.600000000006</v>
      </c>
      <c r="AN22" s="395">
        <f t="shared" ref="AN22:AO22" si="112">ROUND(SUM(AN24,AN31,AN34),1)</f>
        <v>2590.3000000000002</v>
      </c>
      <c r="AO22" s="192">
        <f t="shared" si="112"/>
        <v>2590.3000000000002</v>
      </c>
      <c r="AP22" s="182">
        <f>ROUND(SUM(AP24,AP31,AP34),1)</f>
        <v>5180.7</v>
      </c>
    </row>
    <row r="23" spans="1:42" s="55" customFormat="1" ht="15" x14ac:dyDescent="0.2">
      <c r="A23" s="85"/>
      <c r="B23" s="86" t="s">
        <v>111</v>
      </c>
      <c r="C23" s="66"/>
      <c r="D23" s="183">
        <f>ROUND(D24+D31+D34-(D8+D11-D12-D14-D17),1)</f>
        <v>0</v>
      </c>
      <c r="E23" s="184">
        <f t="shared" ref="E23:G23" si="113">ROUND(E24+E31+E34-(E8+E11-E12-E14-E17),1)</f>
        <v>0</v>
      </c>
      <c r="F23" s="179">
        <f t="shared" si="113"/>
        <v>0</v>
      </c>
      <c r="G23" s="183">
        <f t="shared" si="113"/>
        <v>0</v>
      </c>
      <c r="H23" s="184">
        <f t="shared" ref="H23" si="114">ROUND(H24+H31+H34-(H8+H11-H12-H14-H17),1)</f>
        <v>0</v>
      </c>
      <c r="I23" s="179">
        <f t="shared" ref="I23" si="115">ROUND(I24+I31+I34-(I8+I11-I12-I14-I17),1)</f>
        <v>0</v>
      </c>
      <c r="J23" s="183">
        <f t="shared" ref="J23" si="116">ROUND(J24+J31+J34-(J8+J11-J12-J14-J17),1)</f>
        <v>0</v>
      </c>
      <c r="K23" s="184">
        <f t="shared" ref="K23" si="117">ROUND(K24+K31+K34-(K8+K11-K12-K14-K17),1)</f>
        <v>0</v>
      </c>
      <c r="L23" s="179">
        <f t="shared" ref="L23" si="118">ROUND(L24+L31+L34-(L8+L11-L12-L14-L17),1)</f>
        <v>0</v>
      </c>
      <c r="M23" s="183">
        <f t="shared" ref="M23" si="119">ROUND(M24+M31+M34-(M8+M11-M12-M14-M17),1)</f>
        <v>0</v>
      </c>
      <c r="N23" s="184">
        <f t="shared" ref="N23" si="120">ROUND(N24+N31+N34-(N8+N11-N12-N14-N17),1)</f>
        <v>0</v>
      </c>
      <c r="O23" s="179">
        <f t="shared" ref="O23" si="121">ROUND(O24+O31+O34-(O8+O11-O12-O14-O17),1)</f>
        <v>0</v>
      </c>
      <c r="P23" s="183">
        <f t="shared" ref="P23" si="122">ROUND(P24+P31+P34-(P8+P11-P12-P14-P17),1)</f>
        <v>0</v>
      </c>
      <c r="Q23" s="184">
        <f t="shared" ref="Q23" si="123">ROUND(Q24+Q31+Q34-(Q8+Q11-Q12-Q14-Q17),1)</f>
        <v>0</v>
      </c>
      <c r="R23" s="179">
        <f t="shared" ref="R23" si="124">ROUND(R24+R31+R34-(R8+R11-R12-R14-R17),1)</f>
        <v>0</v>
      </c>
      <c r="S23" s="183">
        <f t="shared" ref="S23" si="125">ROUND(S24+S31+S34-(S8+S11-S12-S14-S17),1)</f>
        <v>0</v>
      </c>
      <c r="T23" s="184">
        <f t="shared" ref="T23" si="126">ROUND(T24+T31+T34-(T8+T11-T12-T14-T17),1)</f>
        <v>0</v>
      </c>
      <c r="U23" s="179">
        <f t="shared" ref="U23" si="127">ROUND(U24+U31+U34-(U8+U11-U12-U14-U17),1)</f>
        <v>0</v>
      </c>
      <c r="V23" s="183">
        <f t="shared" ref="V23" si="128">ROUND(V24+V31+V34-(V8+V11-V12-V14-V17),1)</f>
        <v>0</v>
      </c>
      <c r="W23" s="184">
        <f t="shared" ref="W23" si="129">ROUND(W24+W31+W34-(W8+W11-W12-W14-W17),1)</f>
        <v>0</v>
      </c>
      <c r="X23" s="179">
        <f t="shared" ref="X23" si="130">ROUND(X24+X31+X34-(X8+X11-X12-X14-X17),1)</f>
        <v>0</v>
      </c>
      <c r="Y23" s="183">
        <f t="shared" ref="Y23" si="131">ROUND(Y24+Y31+Y34-(Y8+Y11-Y12-Y14-Y17),1)</f>
        <v>0</v>
      </c>
      <c r="Z23" s="184">
        <f t="shared" ref="Z23" si="132">ROUND(Z24+Z31+Z34-(Z8+Z11-Z12-Z14-Z17),1)</f>
        <v>0</v>
      </c>
      <c r="AA23" s="179">
        <f t="shared" ref="AA23" si="133">ROUND(AA24+AA31+AA34-(AA8+AA11-AA12-AA14-AA17),1)</f>
        <v>0</v>
      </c>
      <c r="AB23" s="183">
        <f t="shared" ref="AB23" si="134">ROUND(AB24+AB31+AB34-(AB8+AB11-AB12-AB14-AB17),1)</f>
        <v>0.1</v>
      </c>
      <c r="AC23" s="184">
        <f t="shared" ref="AC23" si="135">ROUND(AC24+AC31+AC34-(AC8+AC11-AC12-AC14-AC17),1)</f>
        <v>0.1</v>
      </c>
      <c r="AD23" s="179">
        <f t="shared" ref="AD23" si="136">ROUND(AD24+AD31+AD34-(AD8+AD11-AD12-AD14-AD17),1)</f>
        <v>0.1</v>
      </c>
      <c r="AE23" s="183">
        <f t="shared" ref="AE23" si="137">ROUND(AE24+AE31+AE34-(AE8+AE11-AE12-AE14-AE17),1)</f>
        <v>0</v>
      </c>
      <c r="AF23" s="184">
        <f t="shared" ref="AF23" si="138">ROUND(AF24+AF31+AF34-(AF8+AF11-AF12-AF14-AF17),1)</f>
        <v>0</v>
      </c>
      <c r="AG23" s="179">
        <f t="shared" ref="AG23" si="139">ROUND(AG24+AG31+AG34-(AG8+AG11-AG12-AG14-AG17),1)</f>
        <v>0.1</v>
      </c>
      <c r="AH23" s="183">
        <f t="shared" ref="AH23" si="140">ROUND(AH24+AH31+AH34-(AH8+AH11-AH12-AH14-AH17),1)</f>
        <v>0</v>
      </c>
      <c r="AI23" s="184">
        <f t="shared" ref="AI23" si="141">ROUND(AI24+AI31+AI34-(AI8+AI11-AI12-AI14-AI17),1)</f>
        <v>0</v>
      </c>
      <c r="AJ23" s="179">
        <f t="shared" ref="AJ23" si="142">ROUND(AJ24+AJ31+AJ34-(AJ8+AJ11-AJ12-AJ14-AJ17),1)</f>
        <v>0</v>
      </c>
      <c r="AK23" s="183">
        <f t="shared" ref="AK23" si="143">ROUND(AK24+AK31+AK34-(AK8+AK11-AK12-AK14-AK17),1)</f>
        <v>0</v>
      </c>
      <c r="AL23" s="184">
        <f t="shared" ref="AL23" si="144">ROUND(AL24+AL31+AL34-(AL8+AL11-AL12-AL14-AL17),1)</f>
        <v>0</v>
      </c>
      <c r="AM23" s="179">
        <f t="shared" ref="AM23" si="145">ROUND(AM24+AM31+AM34-(AM8+AM11-AM12-AM14-AM17),1)</f>
        <v>0</v>
      </c>
      <c r="AN23" s="183">
        <f t="shared" ref="AN23" si="146">ROUND(AN24+AN31+AN34-(AN8+AN11-AN12-AN14-AN17),1)</f>
        <v>0</v>
      </c>
      <c r="AO23" s="184">
        <f t="shared" ref="AO23" si="147">ROUND(AO24+AO31+AO34-(AO8+AO11-AO12-AO14-AO17),1)</f>
        <v>0</v>
      </c>
      <c r="AP23" s="179">
        <f t="shared" ref="AP23" si="148">ROUND(AP24+AP31+AP34-(AP8+AP11-AP12-AP14-AP17),1)</f>
        <v>0</v>
      </c>
    </row>
    <row r="24" spans="1:42" s="80" customFormat="1" ht="14.25" x14ac:dyDescent="0.2">
      <c r="A24" s="178" t="s">
        <v>112</v>
      </c>
      <c r="B24" s="87" t="s">
        <v>113</v>
      </c>
      <c r="C24" s="88" t="s">
        <v>90</v>
      </c>
      <c r="D24" s="209">
        <f t="shared" ref="D24:E24" si="149">SUM(D25,D28)</f>
        <v>11487.81556413</v>
      </c>
      <c r="E24" s="210">
        <f t="shared" si="149"/>
        <v>11487.81556413</v>
      </c>
      <c r="F24" s="182">
        <f>SUM(F25,F28)</f>
        <v>22975.631128259996</v>
      </c>
      <c r="G24" s="209">
        <f t="shared" ref="G24" si="150">SUM(G25,G28)</f>
        <v>58289.113600893274</v>
      </c>
      <c r="H24" s="210">
        <f t="shared" ref="H24" si="151">SUM(H25,H28)</f>
        <v>58289.113600893274</v>
      </c>
      <c r="I24" s="182">
        <f>SUM(I25,I28)</f>
        <v>116578.22720178655</v>
      </c>
      <c r="J24" s="209">
        <f t="shared" ref="J24" si="152">SUM(J25,J28)</f>
        <v>4516.518038330727</v>
      </c>
      <c r="K24" s="210">
        <f t="shared" ref="K24" si="153">SUM(K25,K28)</f>
        <v>4516.518038330727</v>
      </c>
      <c r="L24" s="182">
        <f>SUM(L25,L28)</f>
        <v>9033.036076661454</v>
      </c>
      <c r="M24" s="209">
        <f t="shared" ref="M24" si="154">SUM(M25,M28)</f>
        <v>25847.423040131624</v>
      </c>
      <c r="N24" s="210">
        <f t="shared" ref="N24" si="155">SUM(N25,N28)</f>
        <v>25847.423040131624</v>
      </c>
      <c r="O24" s="182">
        <f>SUM(O25,O28)</f>
        <v>51694.846080263247</v>
      </c>
      <c r="P24" s="209">
        <f t="shared" ref="P24" si="156">SUM(P25,P28)</f>
        <v>7340.7258122911244</v>
      </c>
      <c r="Q24" s="210">
        <f t="shared" ref="Q24" si="157">SUM(Q25,Q28)</f>
        <v>7340.7258122911244</v>
      </c>
      <c r="R24" s="182">
        <f>SUM(R25,R28)</f>
        <v>14681.451624582251</v>
      </c>
      <c r="S24" s="209">
        <f t="shared" ref="S24" si="158">SUM(S25,S28)</f>
        <v>5207.1601956667364</v>
      </c>
      <c r="T24" s="210">
        <f t="shared" ref="T24" si="159">SUM(T25,T28)</f>
        <v>5207.1601956667364</v>
      </c>
      <c r="U24" s="182">
        <f>SUM(U25,U28)</f>
        <v>10414.320391333473</v>
      </c>
      <c r="V24" s="209">
        <f t="shared" ref="V24" si="160">SUM(V25,V28)</f>
        <v>5284.7361791330995</v>
      </c>
      <c r="W24" s="210">
        <f t="shared" ref="W24" si="161">SUM(W25,W28)</f>
        <v>5284.7361791330995</v>
      </c>
      <c r="X24" s="182">
        <f>SUM(X25,X28)</f>
        <v>10569.472358266201</v>
      </c>
      <c r="Y24" s="209">
        <f t="shared" ref="Y24" si="162">SUM(Y25,Y28)</f>
        <v>1885.8652989605953</v>
      </c>
      <c r="Z24" s="210">
        <f t="shared" ref="Z24" si="163">SUM(Z25,Z28)</f>
        <v>1885.8652989605953</v>
      </c>
      <c r="AA24" s="182">
        <f>SUM(AA25,AA28)</f>
        <v>3771.7305979211906</v>
      </c>
      <c r="AB24" s="209">
        <f t="shared" ref="AB24" si="164">SUM(AB25,AB28)</f>
        <v>16549.17426282871</v>
      </c>
      <c r="AC24" s="210">
        <f t="shared" ref="AC24" si="165">SUM(AC25,AC28)</f>
        <v>16549.17426282871</v>
      </c>
      <c r="AD24" s="182">
        <f>SUM(AD25,AD28)</f>
        <v>33098.348525657428</v>
      </c>
      <c r="AE24" s="209">
        <f t="shared" ref="AE24" si="166">SUM(AE25,AE28)</f>
        <v>12916.196460404757</v>
      </c>
      <c r="AF24" s="210">
        <f t="shared" ref="AF24" si="167">SUM(AF25,AF28)</f>
        <v>12916.196460404757</v>
      </c>
      <c r="AG24" s="182">
        <f>SUM(AG25,AG28)</f>
        <v>25832.392920809514</v>
      </c>
      <c r="AH24" s="209">
        <f t="shared" ref="AH24" si="168">SUM(AH25,AH28)</f>
        <v>12892.338438677958</v>
      </c>
      <c r="AI24" s="210">
        <f t="shared" ref="AI24" si="169">SUM(AI25,AI28)</f>
        <v>12892.338438677958</v>
      </c>
      <c r="AJ24" s="182">
        <f>SUM(AJ25,AJ28)</f>
        <v>25784.676877355916</v>
      </c>
      <c r="AK24" s="209">
        <f t="shared" ref="AK24" si="170">SUM(AK25,AK28)</f>
        <v>35545.680739579191</v>
      </c>
      <c r="AL24" s="210">
        <f t="shared" ref="AL24" si="171">SUM(AL25,AL28)</f>
        <v>35545.680739579191</v>
      </c>
      <c r="AM24" s="182">
        <f>SUM(AM25,AM28)</f>
        <v>71091.361479158382</v>
      </c>
      <c r="AN24" s="209">
        <f t="shared" ref="AN24" si="172">SUM(AN25,AN28)</f>
        <v>2560.8070443253878</v>
      </c>
      <c r="AO24" s="210">
        <f t="shared" ref="AO24" si="173">SUM(AO25,AO28)</f>
        <v>2560.8070443253878</v>
      </c>
      <c r="AP24" s="182">
        <f>SUM(AP25,AP28)</f>
        <v>5121.6140886507746</v>
      </c>
    </row>
    <row r="25" spans="1:42" s="55" customFormat="1" ht="15" x14ac:dyDescent="0.2">
      <c r="A25" s="84"/>
      <c r="B25" s="73" t="s">
        <v>114</v>
      </c>
      <c r="C25" s="66" t="s">
        <v>90</v>
      </c>
      <c r="D25" s="183">
        <f t="shared" ref="D25:F25" si="174">SUM(D26:D27)</f>
        <v>0</v>
      </c>
      <c r="E25" s="184">
        <f t="shared" si="174"/>
        <v>0</v>
      </c>
      <c r="F25" s="179">
        <f t="shared" si="174"/>
        <v>0</v>
      </c>
      <c r="G25" s="183">
        <f t="shared" ref="G25" si="175">SUM(G26:G27)</f>
        <v>58289.113600893274</v>
      </c>
      <c r="H25" s="184">
        <f t="shared" ref="H25" si="176">SUM(H26:H27)</f>
        <v>58289.113600893274</v>
      </c>
      <c r="I25" s="399">
        <f>[7]У_Копи!$M$26</f>
        <v>116578.22720178655</v>
      </c>
      <c r="J25" s="183">
        <f t="shared" ref="J25" si="177">SUM(J26:J27)</f>
        <v>0</v>
      </c>
      <c r="K25" s="184">
        <f t="shared" ref="K25" si="178">SUM(K26:K27)</f>
        <v>0</v>
      </c>
      <c r="L25" s="399">
        <f>[7]Алькат!$M$26</f>
        <v>0</v>
      </c>
      <c r="M25" s="183">
        <f t="shared" ref="M25" si="179">SUM(M26:M27)</f>
        <v>25847.423040131624</v>
      </c>
      <c r="N25" s="184">
        <f t="shared" ref="N25" si="180">SUM(N26:N27)</f>
        <v>25847.423040131624</v>
      </c>
      <c r="O25" s="399">
        <f>[7]Беринг!$M$26</f>
        <v>51694.846080263247</v>
      </c>
      <c r="P25" s="183">
        <f t="shared" ref="P25" si="181">SUM(P26:P27)</f>
        <v>0</v>
      </c>
      <c r="Q25" s="184">
        <f t="shared" ref="Q25" si="182">SUM(Q26:Q27)</f>
        <v>0</v>
      </c>
      <c r="R25" s="399">
        <f>[7]Мейнып!$M$26</f>
        <v>0</v>
      </c>
      <c r="S25" s="183">
        <f t="shared" ref="S25" si="183">SUM(S26:S27)</f>
        <v>0</v>
      </c>
      <c r="T25" s="184">
        <f t="shared" ref="T25" si="184">SUM(T26:T27)</f>
        <v>0</v>
      </c>
      <c r="U25" s="399">
        <f>[7]Хатыр!$M$26</f>
        <v>0</v>
      </c>
      <c r="V25" s="183">
        <f t="shared" ref="V25" si="185">SUM(V26:V27)</f>
        <v>0</v>
      </c>
      <c r="W25" s="184">
        <f t="shared" ref="W25" si="186">SUM(W26:W27)</f>
        <v>0</v>
      </c>
      <c r="X25" s="399">
        <f>[7]Ваеги!$M$26</f>
        <v>0</v>
      </c>
      <c r="Y25" s="183">
        <f t="shared" ref="Y25" si="187">SUM(Y26:Y27)</f>
        <v>0</v>
      </c>
      <c r="Z25" s="184">
        <f t="shared" ref="Z25" si="188">SUM(Z26:Z27)</f>
        <v>0</v>
      </c>
      <c r="AA25" s="399">
        <f>[7]Снежн!$M$26</f>
        <v>0</v>
      </c>
      <c r="AB25" s="183">
        <f t="shared" ref="AB25" si="189">SUM(AB26:AB27)</f>
        <v>0</v>
      </c>
      <c r="AC25" s="184">
        <f t="shared" ref="AC25" si="190">SUM(AC26:AC27)</f>
        <v>0</v>
      </c>
      <c r="AD25" s="399">
        <f>[7]Марк!$M$26</f>
        <v>0</v>
      </c>
      <c r="AE25" s="183">
        <f t="shared" ref="AE25" si="191">SUM(AE26:AE27)</f>
        <v>0</v>
      </c>
      <c r="AF25" s="184">
        <f t="shared" ref="AF25" si="192">SUM(AF26:AF27)</f>
        <v>0</v>
      </c>
      <c r="AG25" s="399">
        <f>[7]У_Бел!$M$26</f>
        <v>0</v>
      </c>
      <c r="AH25" s="183">
        <f t="shared" ref="AH25" si="193">SUM(AH26:AH27)</f>
        <v>0</v>
      </c>
      <c r="AI25" s="184">
        <f t="shared" ref="AI25" si="194">SUM(AI26:AI27)</f>
        <v>0</v>
      </c>
      <c r="AJ25" s="399">
        <f>[7]Н_Чапл!$M$26</f>
        <v>0</v>
      </c>
      <c r="AK25" s="183">
        <f t="shared" ref="AK25" si="195">SUM(AK26:AK27)</f>
        <v>35545.680739579191</v>
      </c>
      <c r="AL25" s="184">
        <f t="shared" ref="AL25" si="196">SUM(AL26:AL27)</f>
        <v>35545.680739579191</v>
      </c>
      <c r="AM25" s="399">
        <f>[7]Провид!$M$26</f>
        <v>71091.361479158382</v>
      </c>
      <c r="AN25" s="183">
        <f t="shared" ref="AN25" si="197">SUM(AN26:AN27)</f>
        <v>0</v>
      </c>
      <c r="AO25" s="184">
        <f t="shared" ref="AO25" si="198">SUM(AO26:AO27)</f>
        <v>0</v>
      </c>
      <c r="AP25" s="399">
        <f>[7]Сирен!$M$26</f>
        <v>0</v>
      </c>
    </row>
    <row r="26" spans="1:42" s="55" customFormat="1" ht="15" x14ac:dyDescent="0.2">
      <c r="A26" s="61"/>
      <c r="B26" s="92" t="s">
        <v>115</v>
      </c>
      <c r="C26" s="63" t="s">
        <v>90</v>
      </c>
      <c r="D26" s="183">
        <f t="shared" ref="D26:D27" si="199">F26*0.5</f>
        <v>0</v>
      </c>
      <c r="E26" s="184">
        <f t="shared" ref="E26:E27" si="200">F26*0.5</f>
        <v>0</v>
      </c>
      <c r="F26" s="179">
        <v>0</v>
      </c>
      <c r="G26" s="183">
        <f t="shared" ref="G26:G27" si="201">I26*0.5</f>
        <v>45839.425134025485</v>
      </c>
      <c r="H26" s="184">
        <f t="shared" ref="H26:H27" si="202">I26*0.5</f>
        <v>45839.425134025485</v>
      </c>
      <c r="I26" s="179">
        <f>I25*'раздел 2 2022'!I62</f>
        <v>91678.85026805097</v>
      </c>
      <c r="J26" s="183">
        <f t="shared" ref="J26:J27" si="203">L26*0.5</f>
        <v>0</v>
      </c>
      <c r="K26" s="184">
        <f t="shared" ref="K26:K27" si="204">L26*0.5</f>
        <v>0</v>
      </c>
      <c r="L26" s="179">
        <f>L25*'раздел 2 2022'!L62</f>
        <v>0</v>
      </c>
      <c r="M26" s="183">
        <f t="shared" ref="M26:M27" si="205">O26*0.5</f>
        <v>3530.270056370839</v>
      </c>
      <c r="N26" s="184">
        <f t="shared" ref="N26:N27" si="206">O26*0.5</f>
        <v>3530.270056370839</v>
      </c>
      <c r="O26" s="179">
        <f>O25*'раздел 2 2022'!O62</f>
        <v>7060.5401127416781</v>
      </c>
      <c r="P26" s="183">
        <f t="shared" ref="P26:P27" si="207">R26*0.5</f>
        <v>0</v>
      </c>
      <c r="Q26" s="184">
        <f t="shared" ref="Q26:Q27" si="208">R26*0.5</f>
        <v>0</v>
      </c>
      <c r="R26" s="179">
        <f>R25*'раздел 2 2022'!R62</f>
        <v>0</v>
      </c>
      <c r="S26" s="183">
        <f t="shared" ref="S26:S27" si="209">U26*0.5</f>
        <v>0</v>
      </c>
      <c r="T26" s="184">
        <f t="shared" ref="T26:T27" si="210">U26*0.5</f>
        <v>0</v>
      </c>
      <c r="U26" s="179">
        <f>U25*'раздел 2 2022'!U62</f>
        <v>0</v>
      </c>
      <c r="V26" s="183">
        <f t="shared" ref="V26:V27" si="211">X26*0.5</f>
        <v>0</v>
      </c>
      <c r="W26" s="184">
        <f t="shared" ref="W26:W27" si="212">X26*0.5</f>
        <v>0</v>
      </c>
      <c r="X26" s="179">
        <f>X25*'раздел 2 2022'!X62</f>
        <v>0</v>
      </c>
      <c r="Y26" s="183">
        <f t="shared" ref="Y26:Y27" si="213">AA26*0.5</f>
        <v>0</v>
      </c>
      <c r="Z26" s="184">
        <f t="shared" ref="Z26:Z27" si="214">AA26*0.5</f>
        <v>0</v>
      </c>
      <c r="AA26" s="179">
        <f>AA25*'раздел 2 2022'!AA62</f>
        <v>0</v>
      </c>
      <c r="AB26" s="183">
        <f t="shared" ref="AB26:AB27" si="215">AD26*0.5</f>
        <v>0</v>
      </c>
      <c r="AC26" s="184">
        <f t="shared" ref="AC26:AC27" si="216">AD26*0.5</f>
        <v>0</v>
      </c>
      <c r="AD26" s="179">
        <f>AD25*'раздел 2 2022'!AD62</f>
        <v>0</v>
      </c>
      <c r="AE26" s="183">
        <f t="shared" ref="AE26:AE27" si="217">AG26*0.5</f>
        <v>0</v>
      </c>
      <c r="AF26" s="184">
        <f t="shared" ref="AF26:AF27" si="218">AG26*0.5</f>
        <v>0</v>
      </c>
      <c r="AG26" s="179">
        <f>AG25*'раздел 2 2022'!AG62</f>
        <v>0</v>
      </c>
      <c r="AH26" s="183">
        <f t="shared" ref="AH26:AH27" si="219">AJ26*0.5</f>
        <v>0</v>
      </c>
      <c r="AI26" s="184">
        <f t="shared" ref="AI26:AI27" si="220">AJ26*0.5</f>
        <v>0</v>
      </c>
      <c r="AJ26" s="179">
        <f>AJ25*'раздел 2 2022'!AJ62</f>
        <v>0</v>
      </c>
      <c r="AK26" s="183">
        <f t="shared" ref="AK26:AK27" si="221">AM26*0.5</f>
        <v>24169.104402290279</v>
      </c>
      <c r="AL26" s="184">
        <f t="shared" ref="AL26:AL27" si="222">AM26*0.5</f>
        <v>24169.104402290279</v>
      </c>
      <c r="AM26" s="179">
        <f>AM25*'раздел 2 2022'!AM62</f>
        <v>48338.208804580558</v>
      </c>
      <c r="AN26" s="183">
        <f t="shared" ref="AN26:AN27" si="223">AP26*0.5</f>
        <v>0</v>
      </c>
      <c r="AO26" s="184">
        <f t="shared" ref="AO26:AO27" si="224">AP26*0.5</f>
        <v>0</v>
      </c>
      <c r="AP26" s="179">
        <f>AP25*'раздел 2 2022'!AP62</f>
        <v>0</v>
      </c>
    </row>
    <row r="27" spans="1:42" s="55" customFormat="1" ht="15" x14ac:dyDescent="0.2">
      <c r="A27" s="84"/>
      <c r="B27" s="65" t="s">
        <v>116</v>
      </c>
      <c r="C27" s="66" t="s">
        <v>90</v>
      </c>
      <c r="D27" s="183">
        <f t="shared" si="199"/>
        <v>0</v>
      </c>
      <c r="E27" s="184">
        <f t="shared" si="200"/>
        <v>0</v>
      </c>
      <c r="F27" s="179">
        <v>0</v>
      </c>
      <c r="G27" s="183">
        <f t="shared" si="201"/>
        <v>12449.688466867789</v>
      </c>
      <c r="H27" s="184">
        <f t="shared" si="202"/>
        <v>12449.688466867789</v>
      </c>
      <c r="I27" s="179">
        <f>I25*'раздел 2 2022'!I63</f>
        <v>24899.376933735577</v>
      </c>
      <c r="J27" s="183">
        <f t="shared" si="203"/>
        <v>0</v>
      </c>
      <c r="K27" s="184">
        <f t="shared" si="204"/>
        <v>0</v>
      </c>
      <c r="L27" s="179">
        <f>L25*'раздел 2 2022'!L63</f>
        <v>0</v>
      </c>
      <c r="M27" s="183">
        <f t="shared" si="205"/>
        <v>22317.152983760785</v>
      </c>
      <c r="N27" s="184">
        <f t="shared" si="206"/>
        <v>22317.152983760785</v>
      </c>
      <c r="O27" s="179">
        <f>O25*'раздел 2 2022'!O63</f>
        <v>44634.30596752157</v>
      </c>
      <c r="P27" s="183">
        <f t="shared" si="207"/>
        <v>0</v>
      </c>
      <c r="Q27" s="184">
        <f t="shared" si="208"/>
        <v>0</v>
      </c>
      <c r="R27" s="179">
        <f>R25*'раздел 2 2022'!R63</f>
        <v>0</v>
      </c>
      <c r="S27" s="183">
        <f t="shared" si="209"/>
        <v>0</v>
      </c>
      <c r="T27" s="184">
        <f t="shared" si="210"/>
        <v>0</v>
      </c>
      <c r="U27" s="179">
        <f>U25*'раздел 2 2022'!U63</f>
        <v>0</v>
      </c>
      <c r="V27" s="183">
        <f t="shared" si="211"/>
        <v>0</v>
      </c>
      <c r="W27" s="184">
        <f t="shared" si="212"/>
        <v>0</v>
      </c>
      <c r="X27" s="179">
        <f>X25*'раздел 2 2022'!X63</f>
        <v>0</v>
      </c>
      <c r="Y27" s="183">
        <f t="shared" si="213"/>
        <v>0</v>
      </c>
      <c r="Z27" s="184">
        <f t="shared" si="214"/>
        <v>0</v>
      </c>
      <c r="AA27" s="179">
        <f>AA25*'раздел 2 2022'!AA63</f>
        <v>0</v>
      </c>
      <c r="AB27" s="183">
        <f t="shared" si="215"/>
        <v>0</v>
      </c>
      <c r="AC27" s="184">
        <f t="shared" si="216"/>
        <v>0</v>
      </c>
      <c r="AD27" s="179">
        <f>AD25*'раздел 2 2022'!AD63</f>
        <v>0</v>
      </c>
      <c r="AE27" s="183">
        <f t="shared" si="217"/>
        <v>0</v>
      </c>
      <c r="AF27" s="184">
        <f t="shared" si="218"/>
        <v>0</v>
      </c>
      <c r="AG27" s="179">
        <f>AG25*'раздел 2 2022'!AG63</f>
        <v>0</v>
      </c>
      <c r="AH27" s="183">
        <f t="shared" si="219"/>
        <v>0</v>
      </c>
      <c r="AI27" s="184">
        <f t="shared" si="220"/>
        <v>0</v>
      </c>
      <c r="AJ27" s="179">
        <f>AJ25*'раздел 2 2022'!AJ63</f>
        <v>0</v>
      </c>
      <c r="AK27" s="183">
        <f t="shared" si="221"/>
        <v>11376.576337288914</v>
      </c>
      <c r="AL27" s="184">
        <f t="shared" si="222"/>
        <v>11376.576337288914</v>
      </c>
      <c r="AM27" s="179">
        <f>AM25*'раздел 2 2022'!AM63</f>
        <v>22753.152674577828</v>
      </c>
      <c r="AN27" s="183">
        <f t="shared" si="223"/>
        <v>0</v>
      </c>
      <c r="AO27" s="184">
        <f t="shared" si="224"/>
        <v>0</v>
      </c>
      <c r="AP27" s="179">
        <f>AP25*'раздел 2 2022'!AP63</f>
        <v>0</v>
      </c>
    </row>
    <row r="28" spans="1:42" s="55" customFormat="1" ht="15" x14ac:dyDescent="0.2">
      <c r="A28" s="85" t="s">
        <v>117</v>
      </c>
      <c r="B28" s="73" t="s">
        <v>118</v>
      </c>
      <c r="C28" s="66" t="s">
        <v>90</v>
      </c>
      <c r="D28" s="183">
        <f t="shared" ref="D28:E28" si="225">SUM(D29:D30)</f>
        <v>11487.81556413</v>
      </c>
      <c r="E28" s="184">
        <f t="shared" si="225"/>
        <v>11487.81556413</v>
      </c>
      <c r="F28" s="179">
        <f>[7]Канч!$M$27</f>
        <v>22975.631128259996</v>
      </c>
      <c r="G28" s="183">
        <f t="shared" ref="G28" si="226">SUM(G29:G30)</f>
        <v>0</v>
      </c>
      <c r="H28" s="184">
        <f t="shared" ref="H28" si="227">SUM(H29:H30)</f>
        <v>0</v>
      </c>
      <c r="I28" s="399">
        <f>[7]У_Копи!$M$27</f>
        <v>0</v>
      </c>
      <c r="J28" s="183">
        <f t="shared" ref="J28" si="228">SUM(J29:J30)</f>
        <v>4516.518038330727</v>
      </c>
      <c r="K28" s="184">
        <f t="shared" ref="K28" si="229">SUM(K29:K30)</f>
        <v>4516.518038330727</v>
      </c>
      <c r="L28" s="399">
        <f>[7]Алькат!$M$27</f>
        <v>9033.036076661454</v>
      </c>
      <c r="M28" s="183">
        <f t="shared" ref="M28" si="230">SUM(M29:M30)</f>
        <v>0</v>
      </c>
      <c r="N28" s="184">
        <f t="shared" ref="N28" si="231">SUM(N29:N30)</f>
        <v>0</v>
      </c>
      <c r="O28" s="399">
        <f>[7]Беринг!$M$27</f>
        <v>0</v>
      </c>
      <c r="P28" s="183">
        <f t="shared" ref="P28" si="232">SUM(P29:P30)</f>
        <v>7340.7258122911244</v>
      </c>
      <c r="Q28" s="184">
        <f t="shared" ref="Q28" si="233">SUM(Q29:Q30)</f>
        <v>7340.7258122911244</v>
      </c>
      <c r="R28" s="399">
        <f>[7]Мейнып!$M$27</f>
        <v>14681.451624582251</v>
      </c>
      <c r="S28" s="183">
        <f t="shared" ref="S28" si="234">SUM(S29:S30)</f>
        <v>5207.1601956667364</v>
      </c>
      <c r="T28" s="184">
        <f t="shared" ref="T28" si="235">SUM(T29:T30)</f>
        <v>5207.1601956667364</v>
      </c>
      <c r="U28" s="399">
        <f>[7]Хатыр!$M$27</f>
        <v>10414.320391333473</v>
      </c>
      <c r="V28" s="183">
        <f t="shared" ref="V28" si="236">SUM(V29:V30)</f>
        <v>5284.7361791330995</v>
      </c>
      <c r="W28" s="184">
        <f t="shared" ref="W28" si="237">SUM(W29:W30)</f>
        <v>5284.7361791330995</v>
      </c>
      <c r="X28" s="399">
        <f>[7]Ваеги!$M$27</f>
        <v>10569.472358266201</v>
      </c>
      <c r="Y28" s="183">
        <f t="shared" ref="Y28" si="238">SUM(Y29:Y30)</f>
        <v>1885.8652989605953</v>
      </c>
      <c r="Z28" s="184">
        <f t="shared" ref="Z28" si="239">SUM(Z29:Z30)</f>
        <v>1885.8652989605953</v>
      </c>
      <c r="AA28" s="399">
        <f>[7]Снежн!$M$27</f>
        <v>3771.7305979211906</v>
      </c>
      <c r="AB28" s="183">
        <f t="shared" ref="AB28" si="240">SUM(AB29:AB30)</f>
        <v>16549.17426282871</v>
      </c>
      <c r="AC28" s="184">
        <f t="shared" ref="AC28" si="241">SUM(AC29:AC30)</f>
        <v>16549.17426282871</v>
      </c>
      <c r="AD28" s="399">
        <f>[7]Марк!$M$27</f>
        <v>33098.348525657428</v>
      </c>
      <c r="AE28" s="183">
        <f t="shared" ref="AE28" si="242">SUM(AE29:AE30)</f>
        <v>12916.196460404757</v>
      </c>
      <c r="AF28" s="184">
        <f t="shared" ref="AF28" si="243">SUM(AF29:AF30)</f>
        <v>12916.196460404757</v>
      </c>
      <c r="AG28" s="399">
        <f>[7]У_Бел!$M$27</f>
        <v>25832.392920809514</v>
      </c>
      <c r="AH28" s="183">
        <f t="shared" ref="AH28" si="244">SUM(AH29:AH30)</f>
        <v>12892.338438677958</v>
      </c>
      <c r="AI28" s="184">
        <f t="shared" ref="AI28" si="245">SUM(AI29:AI30)</f>
        <v>12892.338438677958</v>
      </c>
      <c r="AJ28" s="399">
        <f>[7]Н_Чапл!$M$27</f>
        <v>25784.676877355916</v>
      </c>
      <c r="AK28" s="183">
        <f t="shared" ref="AK28" si="246">SUM(AK29:AK30)</f>
        <v>0</v>
      </c>
      <c r="AL28" s="184">
        <f t="shared" ref="AL28" si="247">SUM(AL29:AL30)</f>
        <v>0</v>
      </c>
      <c r="AM28" s="399">
        <f>[7]Провид!$M$27</f>
        <v>0</v>
      </c>
      <c r="AN28" s="183">
        <f t="shared" ref="AN28" si="248">SUM(AN29:AN30)</f>
        <v>2560.8070443253878</v>
      </c>
      <c r="AO28" s="184">
        <f t="shared" ref="AO28" si="249">SUM(AO29:AO30)</f>
        <v>2560.8070443253878</v>
      </c>
      <c r="AP28" s="399">
        <f>[7]Сирен!$M$27</f>
        <v>5121.6140886507746</v>
      </c>
    </row>
    <row r="29" spans="1:42" s="55" customFormat="1" ht="15" x14ac:dyDescent="0.2">
      <c r="A29" s="84"/>
      <c r="B29" s="65" t="s">
        <v>115</v>
      </c>
      <c r="C29" s="66" t="s">
        <v>90</v>
      </c>
      <c r="D29" s="183">
        <f t="shared" ref="D29:D30" si="250">F29*0.5</f>
        <v>5179.0775118119545</v>
      </c>
      <c r="E29" s="184">
        <f t="shared" ref="E29:E30" si="251">F29*0.5</f>
        <v>5179.0775118119545</v>
      </c>
      <c r="F29" s="179">
        <f>F28*'раздел 2 2022'!F65</f>
        <v>10358.155023623909</v>
      </c>
      <c r="G29" s="183">
        <f t="shared" ref="G29:G30" si="252">I29*0.5</f>
        <v>0</v>
      </c>
      <c r="H29" s="184">
        <f t="shared" ref="H29:H30" si="253">I29*0.5</f>
        <v>0</v>
      </c>
      <c r="I29" s="179">
        <f>I28*'раздел 2 2022'!I65</f>
        <v>0</v>
      </c>
      <c r="J29" s="183">
        <f t="shared" ref="J29:J30" si="254">L29*0.5</f>
        <v>934.1533246880166</v>
      </c>
      <c r="K29" s="184">
        <f t="shared" ref="K29:K30" si="255">L29*0.5</f>
        <v>934.1533246880166</v>
      </c>
      <c r="L29" s="179">
        <f>L28*'раздел 2 2022'!L65</f>
        <v>1868.3066493760332</v>
      </c>
      <c r="M29" s="183">
        <f t="shared" ref="M29:M30" si="256">O29*0.5</f>
        <v>0</v>
      </c>
      <c r="N29" s="184">
        <f t="shared" ref="N29:N30" si="257">O29*0.5</f>
        <v>0</v>
      </c>
      <c r="O29" s="179">
        <f>O28*'раздел 2 2022'!O65</f>
        <v>0</v>
      </c>
      <c r="P29" s="183">
        <f t="shared" ref="P29:P30" si="258">R29*0.5</f>
        <v>5015.7552265285685</v>
      </c>
      <c r="Q29" s="184">
        <f t="shared" ref="Q29:Q30" si="259">R29*0.5</f>
        <v>5015.7552265285685</v>
      </c>
      <c r="R29" s="179">
        <f>R28*'раздел 2 2022'!R65</f>
        <v>10031.510453057137</v>
      </c>
      <c r="S29" s="183">
        <f t="shared" ref="S29:S30" si="260">U29*0.5</f>
        <v>3678.5785330927106</v>
      </c>
      <c r="T29" s="184">
        <f t="shared" ref="T29:T30" si="261">U29*0.5</f>
        <v>3678.5785330927106</v>
      </c>
      <c r="U29" s="179">
        <f>U28*'раздел 2 2022'!U65</f>
        <v>7357.1570661854212</v>
      </c>
      <c r="V29" s="183">
        <f t="shared" ref="V29:V30" si="262">X29*0.5</f>
        <v>3525.4928801872638</v>
      </c>
      <c r="W29" s="184">
        <f t="shared" ref="W29:W30" si="263">X29*0.5</f>
        <v>3525.4928801872638</v>
      </c>
      <c r="X29" s="179">
        <f>X28*'раздел 2 2022'!X65</f>
        <v>7050.9857603745277</v>
      </c>
      <c r="Y29" s="183">
        <f t="shared" ref="Y29:Y30" si="264">AA29*0.5</f>
        <v>711.09942712790803</v>
      </c>
      <c r="Z29" s="184">
        <f t="shared" ref="Z29:Z30" si="265">AA29*0.5</f>
        <v>711.09942712790803</v>
      </c>
      <c r="AA29" s="179">
        <f>AA28*'раздел 2 2022'!AA65</f>
        <v>1422.1988542558161</v>
      </c>
      <c r="AB29" s="183">
        <f t="shared" ref="AB29:AB30" si="266">AD29*0.5</f>
        <v>11327.450454963429</v>
      </c>
      <c r="AC29" s="184">
        <f t="shared" ref="AC29:AC30" si="267">AD29*0.5</f>
        <v>11327.450454963429</v>
      </c>
      <c r="AD29" s="179">
        <f>AD28*'раздел 2 2022'!AD65</f>
        <v>22654.900909926859</v>
      </c>
      <c r="AE29" s="183">
        <f t="shared" ref="AE29:AE30" si="268">AG29*0.5</f>
        <v>7470.4696921629111</v>
      </c>
      <c r="AF29" s="184">
        <f t="shared" ref="AF29:AF30" si="269">AG29*0.5</f>
        <v>7470.4696921629111</v>
      </c>
      <c r="AG29" s="179">
        <f>AG28*'раздел 2 2022'!AG65</f>
        <v>14940.939384325822</v>
      </c>
      <c r="AH29" s="183">
        <f t="shared" ref="AH29:AH30" si="270">AJ29*0.5</f>
        <v>985.91470278550503</v>
      </c>
      <c r="AI29" s="184">
        <f t="shared" ref="AI29:AI30" si="271">AJ29*0.5</f>
        <v>985.91470278550503</v>
      </c>
      <c r="AJ29" s="179">
        <f>AJ28*'раздел 2 2022'!AJ65</f>
        <v>1971.8294055710101</v>
      </c>
      <c r="AK29" s="183">
        <f t="shared" ref="AK29:AK30" si="272">AM29*0.5</f>
        <v>0</v>
      </c>
      <c r="AL29" s="184">
        <f t="shared" ref="AL29:AL30" si="273">AM29*0.5</f>
        <v>0</v>
      </c>
      <c r="AM29" s="179">
        <f>AM28*'раздел 2 2022'!AM65</f>
        <v>0</v>
      </c>
      <c r="AN29" s="183">
        <f t="shared" ref="AN29:AN30" si="274">AP29*0.5</f>
        <v>689.89313619170537</v>
      </c>
      <c r="AO29" s="184">
        <f t="shared" ref="AO29:AO30" si="275">AP29*0.5</f>
        <v>689.89313619170537</v>
      </c>
      <c r="AP29" s="179">
        <f>AP28*'раздел 2 2022'!AP65</f>
        <v>1379.7862723834107</v>
      </c>
    </row>
    <row r="30" spans="1:42" s="55" customFormat="1" ht="15" x14ac:dyDescent="0.2">
      <c r="A30" s="84"/>
      <c r="B30" s="65" t="s">
        <v>116</v>
      </c>
      <c r="C30" s="66" t="s">
        <v>90</v>
      </c>
      <c r="D30" s="183">
        <f t="shared" si="250"/>
        <v>6308.7380523180445</v>
      </c>
      <c r="E30" s="184">
        <f t="shared" si="251"/>
        <v>6308.7380523180445</v>
      </c>
      <c r="F30" s="179">
        <f>F28*'раздел 2 2022'!F66</f>
        <v>12617.476104636089</v>
      </c>
      <c r="G30" s="183">
        <f t="shared" si="252"/>
        <v>0</v>
      </c>
      <c r="H30" s="184">
        <f t="shared" si="253"/>
        <v>0</v>
      </c>
      <c r="I30" s="179">
        <f>I28*'раздел 2 2022'!I66</f>
        <v>0</v>
      </c>
      <c r="J30" s="183">
        <f t="shared" si="254"/>
        <v>3582.3647136427103</v>
      </c>
      <c r="K30" s="184">
        <f t="shared" si="255"/>
        <v>3582.3647136427103</v>
      </c>
      <c r="L30" s="179">
        <f>L28*'раздел 2 2022'!L66</f>
        <v>7164.7294272854206</v>
      </c>
      <c r="M30" s="183">
        <f t="shared" si="256"/>
        <v>0</v>
      </c>
      <c r="N30" s="184">
        <f t="shared" si="257"/>
        <v>0</v>
      </c>
      <c r="O30" s="179">
        <f>O28*'раздел 2 2022'!O66</f>
        <v>0</v>
      </c>
      <c r="P30" s="183">
        <f t="shared" si="258"/>
        <v>2324.9705857625559</v>
      </c>
      <c r="Q30" s="184">
        <f t="shared" si="259"/>
        <v>2324.9705857625559</v>
      </c>
      <c r="R30" s="179">
        <f>R28*'раздел 2 2022'!R66</f>
        <v>4649.9411715251117</v>
      </c>
      <c r="S30" s="183">
        <f t="shared" si="260"/>
        <v>1528.5816625740256</v>
      </c>
      <c r="T30" s="184">
        <f t="shared" si="261"/>
        <v>1528.5816625740256</v>
      </c>
      <c r="U30" s="179">
        <f>U28*'раздел 2 2022'!U66</f>
        <v>3057.1633251480512</v>
      </c>
      <c r="V30" s="183">
        <f t="shared" si="262"/>
        <v>1759.2432989458357</v>
      </c>
      <c r="W30" s="184">
        <f t="shared" si="263"/>
        <v>1759.2432989458357</v>
      </c>
      <c r="X30" s="179">
        <f>X28*'раздел 2 2022'!X66</f>
        <v>3518.4865978916714</v>
      </c>
      <c r="Y30" s="183">
        <f t="shared" si="264"/>
        <v>1174.7658718326873</v>
      </c>
      <c r="Z30" s="184">
        <f t="shared" si="265"/>
        <v>1174.7658718326873</v>
      </c>
      <c r="AA30" s="179">
        <f>AA28*'раздел 2 2022'!AA66</f>
        <v>2349.5317436653745</v>
      </c>
      <c r="AB30" s="183">
        <f t="shared" si="266"/>
        <v>5221.7238078652827</v>
      </c>
      <c r="AC30" s="184">
        <f t="shared" si="267"/>
        <v>5221.7238078652827</v>
      </c>
      <c r="AD30" s="179">
        <f>AD28*'раздел 2 2022'!AD66</f>
        <v>10443.447615730565</v>
      </c>
      <c r="AE30" s="183">
        <f t="shared" si="268"/>
        <v>5445.7267682418469</v>
      </c>
      <c r="AF30" s="184">
        <f t="shared" si="269"/>
        <v>5445.7267682418469</v>
      </c>
      <c r="AG30" s="179">
        <f>AG28*'раздел 2 2022'!AG66</f>
        <v>10891.453536483694</v>
      </c>
      <c r="AH30" s="183">
        <f t="shared" si="270"/>
        <v>11906.423735892453</v>
      </c>
      <c r="AI30" s="184">
        <f t="shared" si="271"/>
        <v>11906.423735892453</v>
      </c>
      <c r="AJ30" s="179">
        <f>AJ28*'раздел 2 2022'!AJ66</f>
        <v>23812.847471784906</v>
      </c>
      <c r="AK30" s="183">
        <f t="shared" si="272"/>
        <v>0</v>
      </c>
      <c r="AL30" s="184">
        <f t="shared" si="273"/>
        <v>0</v>
      </c>
      <c r="AM30" s="179">
        <f>AM28*'раздел 2 2022'!AM66</f>
        <v>0</v>
      </c>
      <c r="AN30" s="183">
        <f t="shared" si="274"/>
        <v>1870.9139081336823</v>
      </c>
      <c r="AO30" s="184">
        <f t="shared" si="275"/>
        <v>1870.9139081336823</v>
      </c>
      <c r="AP30" s="179">
        <f>AP28*'раздел 2 2022'!AP66</f>
        <v>3741.8278162673646</v>
      </c>
    </row>
    <row r="31" spans="1:42" s="80" customFormat="1" ht="14.25" x14ac:dyDescent="0.2">
      <c r="A31" s="178" t="s">
        <v>119</v>
      </c>
      <c r="B31" s="93" t="s">
        <v>120</v>
      </c>
      <c r="C31" s="88" t="s">
        <v>90</v>
      </c>
      <c r="D31" s="209">
        <f t="shared" ref="D31:F31" si="276">SUM(D32:D33)</f>
        <v>913.49992499999996</v>
      </c>
      <c r="E31" s="210">
        <f t="shared" si="276"/>
        <v>913.49992499999996</v>
      </c>
      <c r="F31" s="182">
        <f t="shared" si="276"/>
        <v>1826.9998499999999</v>
      </c>
      <c r="G31" s="209">
        <f t="shared" ref="G31" si="277">SUM(G32:G33)</f>
        <v>9583.8249592969678</v>
      </c>
      <c r="H31" s="210">
        <f t="shared" ref="H31" si="278">SUM(H32:H33)</f>
        <v>9583.8249592969678</v>
      </c>
      <c r="I31" s="182">
        <f t="shared" ref="I31" si="279">SUM(I32:I33)</f>
        <v>19167.649918593936</v>
      </c>
      <c r="J31" s="209">
        <f t="shared" ref="J31" si="280">SUM(J32:J33)</f>
        <v>324.44740106560607</v>
      </c>
      <c r="K31" s="210">
        <f t="shared" ref="K31" si="281">SUM(K32:K33)</f>
        <v>324.40740106560605</v>
      </c>
      <c r="L31" s="182">
        <f t="shared" ref="L31" si="282">SUM(L32:L33)</f>
        <v>648.8148021312121</v>
      </c>
      <c r="M31" s="209">
        <f t="shared" ref="M31" si="283">SUM(M32:M33)</f>
        <v>1537.7108500000002</v>
      </c>
      <c r="N31" s="210">
        <f t="shared" ref="N31" si="284">SUM(N32:N33)</f>
        <v>1537.7108500000002</v>
      </c>
      <c r="O31" s="182">
        <f t="shared" ref="O31" si="285">SUM(O32:O33)</f>
        <v>3075.4217000000003</v>
      </c>
      <c r="P31" s="209">
        <f t="shared" ref="P31" si="286">SUM(P32:P33)</f>
        <v>483.21654453333338</v>
      </c>
      <c r="Q31" s="210">
        <f t="shared" ref="Q31" si="287">SUM(Q32:Q33)</f>
        <v>483.21654453333338</v>
      </c>
      <c r="R31" s="182">
        <f t="shared" ref="R31" si="288">SUM(R32:R33)</f>
        <v>966.43308906666675</v>
      </c>
      <c r="S31" s="209">
        <f t="shared" ref="S31" si="289">SUM(S32:S33)</f>
        <v>192.39057535523784</v>
      </c>
      <c r="T31" s="210">
        <f t="shared" ref="T31" si="290">SUM(T32:T33)</f>
        <v>192.39057535523784</v>
      </c>
      <c r="U31" s="182">
        <f t="shared" ref="U31" si="291">SUM(U32:U33)</f>
        <v>384.78115071047569</v>
      </c>
      <c r="V31" s="209">
        <f t="shared" ref="V31" si="292">SUM(V32:V33)</f>
        <v>374.10245955708427</v>
      </c>
      <c r="W31" s="210">
        <f t="shared" ref="W31" si="293">SUM(W32:W33)</f>
        <v>374.10245955708427</v>
      </c>
      <c r="X31" s="182">
        <f t="shared" ref="X31" si="294">SUM(X32:X33)</f>
        <v>748.20491911416855</v>
      </c>
      <c r="Y31" s="209">
        <f t="shared" ref="Y31" si="295">SUM(Y32:Y33)</f>
        <v>98.678520521942048</v>
      </c>
      <c r="Z31" s="210">
        <f t="shared" ref="Z31" si="296">SUM(Z32:Z33)</f>
        <v>98.678520521942048</v>
      </c>
      <c r="AA31" s="182">
        <f t="shared" ref="AA31" si="297">SUM(AA32:AA33)</f>
        <v>197.3570410438841</v>
      </c>
      <c r="AB31" s="209">
        <f t="shared" ref="AB31" si="298">SUM(AB32:AB33)</f>
        <v>1288.5267844484422</v>
      </c>
      <c r="AC31" s="210">
        <f t="shared" ref="AC31" si="299">SUM(AC32:AC33)</f>
        <v>1288.5267844484422</v>
      </c>
      <c r="AD31" s="182">
        <f t="shared" ref="AD31" si="300">SUM(AD32:AD33)</f>
        <v>2577.0535688968844</v>
      </c>
      <c r="AE31" s="209">
        <f t="shared" ref="AE31" si="301">SUM(AE32:AE33)</f>
        <v>1262.4329686701847</v>
      </c>
      <c r="AF31" s="210">
        <f t="shared" ref="AF31" si="302">SUM(AF32:AF33)</f>
        <v>1262.4329686701847</v>
      </c>
      <c r="AG31" s="182">
        <f t="shared" ref="AG31" si="303">SUM(AG32:AG33)</f>
        <v>2524.8659373403693</v>
      </c>
      <c r="AH31" s="209">
        <f t="shared" ref="AH31" si="304">SUM(AH32:AH33)</f>
        <v>341.00439999999998</v>
      </c>
      <c r="AI31" s="210">
        <f t="shared" ref="AI31" si="305">SUM(AI32:AI33)</f>
        <v>341.00439999999998</v>
      </c>
      <c r="AJ31" s="182">
        <f t="shared" ref="AJ31" si="306">SUM(AJ32:AJ33)</f>
        <v>682.00879999999995</v>
      </c>
      <c r="AK31" s="209">
        <f t="shared" ref="AK31" si="307">SUM(AK32:AK33)</f>
        <v>4033.2598789641675</v>
      </c>
      <c r="AL31" s="210">
        <f t="shared" ref="AL31" si="308">SUM(AL32:AL33)</f>
        <v>4033.2598789641675</v>
      </c>
      <c r="AM31" s="182">
        <f t="shared" ref="AM31" si="309">SUM(AM32:AM33)</f>
        <v>8066.5197579283349</v>
      </c>
      <c r="AN31" s="209">
        <f t="shared" ref="AN31" si="310">SUM(AN32:AN33)</f>
        <v>2.1769294333333331</v>
      </c>
      <c r="AO31" s="210">
        <f t="shared" ref="AO31" si="311">SUM(AO32:AO33)</f>
        <v>2.1769294333333331</v>
      </c>
      <c r="AP31" s="182">
        <f t="shared" ref="AP31" si="312">SUM(AP32:AP33)</f>
        <v>4.3538588666666662</v>
      </c>
    </row>
    <row r="32" spans="1:42" s="55" customFormat="1" ht="15" x14ac:dyDescent="0.2">
      <c r="A32" s="94"/>
      <c r="B32" s="95" t="s">
        <v>115</v>
      </c>
      <c r="C32" s="74" t="s">
        <v>90</v>
      </c>
      <c r="D32" s="183">
        <f>F32*0.5</f>
        <v>913.49992499999996</v>
      </c>
      <c r="E32" s="184">
        <f>F32*0.5</f>
        <v>913.49992499999996</v>
      </c>
      <c r="F32" s="396">
        <f>[7]Канч!$M$28</f>
        <v>1826.9998499999999</v>
      </c>
      <c r="G32" s="183">
        <f>I32*0.5</f>
        <v>9583.8249592969678</v>
      </c>
      <c r="H32" s="184">
        <f>I32*0.5</f>
        <v>9583.8249592969678</v>
      </c>
      <c r="I32" s="402">
        <f>[7]У_Копи!$M$28</f>
        <v>19167.649918593936</v>
      </c>
      <c r="J32" s="183">
        <f>L32*0.5+0.04</f>
        <v>324.44740106560607</v>
      </c>
      <c r="K32" s="184">
        <f>L32*0.5</f>
        <v>324.40740106560605</v>
      </c>
      <c r="L32" s="402">
        <f>[7]Алькат!$M$28</f>
        <v>648.8148021312121</v>
      </c>
      <c r="M32" s="183">
        <f>O32*0.5</f>
        <v>1537.7108500000002</v>
      </c>
      <c r="N32" s="184">
        <f>O32*0.5</f>
        <v>1537.7108500000002</v>
      </c>
      <c r="O32" s="402">
        <f>[7]Беринг!$M$28</f>
        <v>3075.4217000000003</v>
      </c>
      <c r="P32" s="183">
        <f>R32*0.5</f>
        <v>483.21654453333338</v>
      </c>
      <c r="Q32" s="184">
        <f>R32*0.5</f>
        <v>483.21654453333338</v>
      </c>
      <c r="R32" s="402">
        <f>[7]Мейнып!$M$28</f>
        <v>966.43308906666675</v>
      </c>
      <c r="S32" s="183">
        <f>U32*0.5</f>
        <v>192.39057535523784</v>
      </c>
      <c r="T32" s="184">
        <f>U32*0.5</f>
        <v>192.39057535523784</v>
      </c>
      <c r="U32" s="402">
        <f>[7]Хатыр!$M$28</f>
        <v>384.78115071047569</v>
      </c>
      <c r="V32" s="183">
        <f>X32*0.5</f>
        <v>374.10245955708427</v>
      </c>
      <c r="W32" s="184">
        <f>X32*0.5</f>
        <v>374.10245955708427</v>
      </c>
      <c r="X32" s="402">
        <f>[7]Ваеги!$M$28</f>
        <v>748.20491911416855</v>
      </c>
      <c r="Y32" s="183">
        <f>AA32*0.5</f>
        <v>98.678520521942048</v>
      </c>
      <c r="Z32" s="184">
        <f>AA32*0.5</f>
        <v>98.678520521942048</v>
      </c>
      <c r="AA32" s="402">
        <f>[7]Снежн!$M$28</f>
        <v>197.3570410438841</v>
      </c>
      <c r="AB32" s="183">
        <f>AD32*0.5</f>
        <v>1288.5267844484422</v>
      </c>
      <c r="AC32" s="184">
        <f>AD32*0.5</f>
        <v>1288.5267844484422</v>
      </c>
      <c r="AD32" s="402">
        <f>[7]Марк!$M$28</f>
        <v>2577.0535688968844</v>
      </c>
      <c r="AE32" s="183">
        <f>AG32*0.5</f>
        <v>1262.4329686701847</v>
      </c>
      <c r="AF32" s="184">
        <f>AG32*0.5</f>
        <v>1262.4329686701847</v>
      </c>
      <c r="AG32" s="402">
        <f>[7]У_Бел!$M$28</f>
        <v>2524.8659373403693</v>
      </c>
      <c r="AH32" s="183">
        <f>AJ32*0.5</f>
        <v>341.00439999999998</v>
      </c>
      <c r="AI32" s="184">
        <f>AJ32*0.5</f>
        <v>341.00439999999998</v>
      </c>
      <c r="AJ32" s="402">
        <f>[7]Н_Чапл!$M$28</f>
        <v>682.00879999999995</v>
      </c>
      <c r="AK32" s="183">
        <f>AM32*0.5</f>
        <v>4033.2598789641675</v>
      </c>
      <c r="AL32" s="184">
        <f>AM32*0.5</f>
        <v>4033.2598789641675</v>
      </c>
      <c r="AM32" s="402">
        <f>[7]Провид!$M$28</f>
        <v>8066.5197579283349</v>
      </c>
      <c r="AN32" s="183">
        <f>AP32*0.5</f>
        <v>2.1769294333333331</v>
      </c>
      <c r="AO32" s="184">
        <f>AP32*0.5</f>
        <v>2.1769294333333331</v>
      </c>
      <c r="AP32" s="402">
        <f>[7]Сирен!$M$28</f>
        <v>4.3538588666666662</v>
      </c>
    </row>
    <row r="33" spans="1:42" s="55" customFormat="1" ht="15" x14ac:dyDescent="0.2">
      <c r="A33" s="84"/>
      <c r="B33" s="97" t="s">
        <v>121</v>
      </c>
      <c r="C33" s="66" t="s">
        <v>90</v>
      </c>
      <c r="D33" s="183">
        <v>0</v>
      </c>
      <c r="E33" s="184">
        <v>0</v>
      </c>
      <c r="F33" s="179">
        <v>0</v>
      </c>
      <c r="G33" s="183">
        <v>0</v>
      </c>
      <c r="H33" s="184">
        <v>0</v>
      </c>
      <c r="I33" s="179">
        <v>0</v>
      </c>
      <c r="J33" s="183">
        <v>0</v>
      </c>
      <c r="K33" s="184">
        <v>0</v>
      </c>
      <c r="L33" s="179">
        <v>0</v>
      </c>
      <c r="M33" s="183">
        <v>0</v>
      </c>
      <c r="N33" s="184">
        <v>0</v>
      </c>
      <c r="O33" s="179">
        <v>0</v>
      </c>
      <c r="P33" s="183">
        <v>0</v>
      </c>
      <c r="Q33" s="184">
        <v>0</v>
      </c>
      <c r="R33" s="179">
        <v>0</v>
      </c>
      <c r="S33" s="183">
        <v>0</v>
      </c>
      <c r="T33" s="184">
        <v>0</v>
      </c>
      <c r="U33" s="179">
        <v>0</v>
      </c>
      <c r="V33" s="183">
        <v>0</v>
      </c>
      <c r="W33" s="184">
        <v>0</v>
      </c>
      <c r="X33" s="179">
        <v>0</v>
      </c>
      <c r="Y33" s="183">
        <v>0</v>
      </c>
      <c r="Z33" s="184">
        <v>0</v>
      </c>
      <c r="AA33" s="179">
        <v>0</v>
      </c>
      <c r="AB33" s="183">
        <v>0</v>
      </c>
      <c r="AC33" s="184">
        <v>0</v>
      </c>
      <c r="AD33" s="179">
        <v>0</v>
      </c>
      <c r="AE33" s="183">
        <v>0</v>
      </c>
      <c r="AF33" s="184">
        <v>0</v>
      </c>
      <c r="AG33" s="179">
        <v>0</v>
      </c>
      <c r="AH33" s="183">
        <v>0</v>
      </c>
      <c r="AI33" s="184">
        <v>0</v>
      </c>
      <c r="AJ33" s="179">
        <v>0</v>
      </c>
      <c r="AK33" s="183">
        <v>0</v>
      </c>
      <c r="AL33" s="184">
        <v>0</v>
      </c>
      <c r="AM33" s="179">
        <v>0</v>
      </c>
      <c r="AN33" s="183">
        <v>0</v>
      </c>
      <c r="AO33" s="184">
        <v>0</v>
      </c>
      <c r="AP33" s="179">
        <v>0</v>
      </c>
    </row>
    <row r="34" spans="1:42" s="80" customFormat="1" ht="14.25" x14ac:dyDescent="0.2">
      <c r="A34" s="98" t="s">
        <v>122</v>
      </c>
      <c r="B34" s="99" t="s">
        <v>0</v>
      </c>
      <c r="C34" s="77" t="s">
        <v>90</v>
      </c>
      <c r="D34" s="207">
        <f t="shared" ref="D34:E34" si="313">SUM(D35:D36)</f>
        <v>446.48792833333329</v>
      </c>
      <c r="E34" s="208">
        <f t="shared" si="313"/>
        <v>446.48792833333329</v>
      </c>
      <c r="F34" s="187">
        <f>SUM(F35:F36)</f>
        <v>892.97585666666657</v>
      </c>
      <c r="G34" s="207">
        <f t="shared" ref="G34" si="314">SUM(G35:G36)</f>
        <v>8003.7482377499991</v>
      </c>
      <c r="H34" s="208">
        <f t="shared" ref="H34" si="315">SUM(H35:H36)</f>
        <v>8003.7482377499991</v>
      </c>
      <c r="I34" s="187">
        <f>SUM(I35:I36)</f>
        <v>16007.496475499998</v>
      </c>
      <c r="J34" s="207">
        <f t="shared" ref="J34" si="316">SUM(J35:J36)</f>
        <v>130.00586160233192</v>
      </c>
      <c r="K34" s="208">
        <f t="shared" ref="K34" si="317">SUM(K35:K36)</f>
        <v>130.00586160233192</v>
      </c>
      <c r="L34" s="187">
        <f>SUM(L35:L36)</f>
        <v>260.01172320466384</v>
      </c>
      <c r="M34" s="207">
        <f t="shared" ref="M34" si="318">SUM(M35:M36)</f>
        <v>1082.9533575000003</v>
      </c>
      <c r="N34" s="208">
        <f t="shared" ref="N34" si="319">SUM(N35:N36)</f>
        <v>1082.9533575000003</v>
      </c>
      <c r="O34" s="187">
        <f>SUM(O35:O36)</f>
        <v>2165.9067150000005</v>
      </c>
      <c r="P34" s="207">
        <f t="shared" ref="P34" si="320">SUM(P35:P36)</f>
        <v>310.10561360187262</v>
      </c>
      <c r="Q34" s="208">
        <f t="shared" ref="Q34" si="321">SUM(Q35:Q36)</f>
        <v>310.10561360187262</v>
      </c>
      <c r="R34" s="187">
        <f>SUM(R35:R36)</f>
        <v>620.21122720374524</v>
      </c>
      <c r="S34" s="207">
        <f t="shared" ref="S34" si="322">SUM(S35:S36)</f>
        <v>215.22200000000004</v>
      </c>
      <c r="T34" s="208">
        <f t="shared" ref="T34" si="323">SUM(T35:T36)</f>
        <v>215.22200000000004</v>
      </c>
      <c r="U34" s="187">
        <f>SUM(U35:U36)</f>
        <v>430.44400000000007</v>
      </c>
      <c r="V34" s="207">
        <f t="shared" ref="V34" si="324">SUM(V35:V36)</f>
        <v>441.48838924888122</v>
      </c>
      <c r="W34" s="208">
        <f t="shared" ref="W34" si="325">SUM(W35:W36)</f>
        <v>441.48838924888122</v>
      </c>
      <c r="X34" s="187">
        <f>SUM(X35:X36)</f>
        <v>882.97677849776244</v>
      </c>
      <c r="Y34" s="207">
        <f t="shared" ref="Y34" si="326">SUM(Y35:Y36)</f>
        <v>80.340225000000004</v>
      </c>
      <c r="Z34" s="208">
        <f t="shared" ref="Z34" si="327">SUM(Z35:Z36)</f>
        <v>80.340225000000004</v>
      </c>
      <c r="AA34" s="187">
        <f>SUM(AA35:AA36)</f>
        <v>160.68045000000001</v>
      </c>
      <c r="AB34" s="207">
        <f t="shared" ref="AB34" si="328">SUM(AB35:AB36)</f>
        <v>815.87450000000024</v>
      </c>
      <c r="AC34" s="208">
        <f t="shared" ref="AC34" si="329">SUM(AC35:AC36)</f>
        <v>815.87450000000024</v>
      </c>
      <c r="AD34" s="187">
        <f>SUM(AD35:AD36)</f>
        <v>1631.7490000000005</v>
      </c>
      <c r="AE34" s="207">
        <f t="shared" ref="AE34" si="330">SUM(AE35:AE36)</f>
        <v>126.03200050000002</v>
      </c>
      <c r="AF34" s="208">
        <f t="shared" ref="AF34" si="331">SUM(AF35:AF36)</f>
        <v>126.03200050000002</v>
      </c>
      <c r="AG34" s="187">
        <f>SUM(AG35:AG36)</f>
        <v>252.06400100000005</v>
      </c>
      <c r="AH34" s="207">
        <f t="shared" ref="AH34" si="332">SUM(AH35:AH36)</f>
        <v>79.680594101831346</v>
      </c>
      <c r="AI34" s="208">
        <f t="shared" ref="AI34" si="333">SUM(AI35:AI36)</f>
        <v>79.680594101831346</v>
      </c>
      <c r="AJ34" s="187">
        <f>SUM(AJ35:AJ36)</f>
        <v>159.36118820366269</v>
      </c>
      <c r="AK34" s="207">
        <f t="shared" ref="AK34" si="334">SUM(AK35:AK36)</f>
        <v>1655.8547145774608</v>
      </c>
      <c r="AL34" s="208">
        <f t="shared" ref="AL34" si="335">SUM(AL35:AL36)</f>
        <v>1655.8547145774608</v>
      </c>
      <c r="AM34" s="187">
        <f>SUM(AM35:AM36)</f>
        <v>3311.7094291549215</v>
      </c>
      <c r="AN34" s="207">
        <f t="shared" ref="AN34" si="336">SUM(AN35:AN36)</f>
        <v>27.35435231698391</v>
      </c>
      <c r="AO34" s="208">
        <f t="shared" ref="AO34" si="337">SUM(AO35:AO36)</f>
        <v>27.35435231698391</v>
      </c>
      <c r="AP34" s="187">
        <f>SUM(AP35:AP36)</f>
        <v>54.70870463396782</v>
      </c>
    </row>
    <row r="35" spans="1:42" s="55" customFormat="1" ht="15" x14ac:dyDescent="0.2">
      <c r="A35" s="84"/>
      <c r="B35" s="65" t="s">
        <v>115</v>
      </c>
      <c r="C35" s="66" t="s">
        <v>90</v>
      </c>
      <c r="D35" s="183">
        <f>F35*0.5</f>
        <v>446.48792833333329</v>
      </c>
      <c r="E35" s="184">
        <f>F35*0.5</f>
        <v>446.48792833333329</v>
      </c>
      <c r="F35" s="397">
        <f>[7]Канч!$M$29</f>
        <v>892.97585666666657</v>
      </c>
      <c r="G35" s="183">
        <f>I35*0.5</f>
        <v>8003.7482377499991</v>
      </c>
      <c r="H35" s="184">
        <f>I35*0.5</f>
        <v>8003.7482377499991</v>
      </c>
      <c r="I35" s="403">
        <f>[7]У_Копи!$M$29</f>
        <v>16007.496475499998</v>
      </c>
      <c r="J35" s="183">
        <f>L35*0.5</f>
        <v>130.00586160233192</v>
      </c>
      <c r="K35" s="184">
        <f>L35*0.5</f>
        <v>130.00586160233192</v>
      </c>
      <c r="L35" s="403">
        <f>[7]Алькат!$M$29</f>
        <v>260.01172320466384</v>
      </c>
      <c r="M35" s="183">
        <f>O35*0.5</f>
        <v>1082.9533575000003</v>
      </c>
      <c r="N35" s="184">
        <f>O35*0.5</f>
        <v>1082.9533575000003</v>
      </c>
      <c r="O35" s="403">
        <f>[7]Беринг!$M$29</f>
        <v>2165.9067150000005</v>
      </c>
      <c r="P35" s="183">
        <f>R35*0.5</f>
        <v>310.10561360187262</v>
      </c>
      <c r="Q35" s="184">
        <f>R35*0.5</f>
        <v>310.10561360187262</v>
      </c>
      <c r="R35" s="403">
        <f>[7]Мейнып!$M$29</f>
        <v>620.21122720374524</v>
      </c>
      <c r="S35" s="183">
        <f>U35*0.5</f>
        <v>215.22200000000004</v>
      </c>
      <c r="T35" s="184">
        <f>U35*0.5</f>
        <v>215.22200000000004</v>
      </c>
      <c r="U35" s="403">
        <f>[7]Хатыр!$M$29</f>
        <v>430.44400000000007</v>
      </c>
      <c r="V35" s="183">
        <f>X35*0.5</f>
        <v>441.48838924888122</v>
      </c>
      <c r="W35" s="184">
        <f>X35*0.5</f>
        <v>441.48838924888122</v>
      </c>
      <c r="X35" s="403">
        <f>[7]Ваеги!$M$29</f>
        <v>882.97677849776244</v>
      </c>
      <c r="Y35" s="183">
        <f>AA35*0.5</f>
        <v>80.340225000000004</v>
      </c>
      <c r="Z35" s="184">
        <f>AA35*0.5</f>
        <v>80.340225000000004</v>
      </c>
      <c r="AA35" s="403">
        <f>[7]Снежн!$M$29</f>
        <v>160.68045000000001</v>
      </c>
      <c r="AB35" s="183">
        <f>AD35*0.5</f>
        <v>815.87450000000024</v>
      </c>
      <c r="AC35" s="184">
        <f>AD35*0.5</f>
        <v>815.87450000000024</v>
      </c>
      <c r="AD35" s="403">
        <f>[7]Марк!$M$29</f>
        <v>1631.7490000000005</v>
      </c>
      <c r="AE35" s="183">
        <f>AG35*0.5</f>
        <v>126.03200050000002</v>
      </c>
      <c r="AF35" s="184">
        <f>AG35*0.5</f>
        <v>126.03200050000002</v>
      </c>
      <c r="AG35" s="403">
        <f>[7]У_Бел!$M$29</f>
        <v>252.06400100000005</v>
      </c>
      <c r="AH35" s="183">
        <f>AJ35*0.5</f>
        <v>79.680594101831346</v>
      </c>
      <c r="AI35" s="184">
        <f>AJ35*0.5</f>
        <v>79.680594101831346</v>
      </c>
      <c r="AJ35" s="403">
        <f>[7]Н_Чапл!$M$29</f>
        <v>159.36118820366269</v>
      </c>
      <c r="AK35" s="183">
        <f>AM35*0.5</f>
        <v>1655.8547145774608</v>
      </c>
      <c r="AL35" s="184">
        <f>AM35*0.5</f>
        <v>1655.8547145774608</v>
      </c>
      <c r="AM35" s="403">
        <f>[7]Провид!$M$29</f>
        <v>3311.7094291549215</v>
      </c>
      <c r="AN35" s="183">
        <f>AP35*0.5</f>
        <v>27.35435231698391</v>
      </c>
      <c r="AO35" s="184">
        <f>AP35*0.5</f>
        <v>27.35435231698391</v>
      </c>
      <c r="AP35" s="403">
        <f>[7]Сирен!$M$29</f>
        <v>54.70870463396782</v>
      </c>
    </row>
    <row r="36" spans="1:42" s="55" customFormat="1" ht="15" x14ac:dyDescent="0.2">
      <c r="A36" s="101"/>
      <c r="B36" s="102" t="s">
        <v>123</v>
      </c>
      <c r="C36" s="103" t="s">
        <v>90</v>
      </c>
      <c r="D36" s="188">
        <v>0</v>
      </c>
      <c r="E36" s="189">
        <v>0</v>
      </c>
      <c r="F36" s="398">
        <v>0</v>
      </c>
      <c r="G36" s="188">
        <v>0</v>
      </c>
      <c r="H36" s="189">
        <v>0</v>
      </c>
      <c r="I36" s="398">
        <v>0</v>
      </c>
      <c r="J36" s="188">
        <v>0</v>
      </c>
      <c r="K36" s="189">
        <v>0</v>
      </c>
      <c r="L36" s="398">
        <v>0</v>
      </c>
      <c r="M36" s="188">
        <v>0</v>
      </c>
      <c r="N36" s="189">
        <v>0</v>
      </c>
      <c r="O36" s="398">
        <v>0</v>
      </c>
      <c r="P36" s="188">
        <v>0</v>
      </c>
      <c r="Q36" s="189">
        <v>0</v>
      </c>
      <c r="R36" s="398">
        <v>0</v>
      </c>
      <c r="S36" s="188">
        <v>0</v>
      </c>
      <c r="T36" s="189">
        <v>0</v>
      </c>
      <c r="U36" s="398">
        <v>0</v>
      </c>
      <c r="V36" s="188">
        <v>0</v>
      </c>
      <c r="W36" s="189">
        <v>0</v>
      </c>
      <c r="X36" s="398">
        <v>0</v>
      </c>
      <c r="Y36" s="188">
        <v>0</v>
      </c>
      <c r="Z36" s="189">
        <v>0</v>
      </c>
      <c r="AA36" s="398">
        <v>0</v>
      </c>
      <c r="AB36" s="188">
        <v>0</v>
      </c>
      <c r="AC36" s="189">
        <v>0</v>
      </c>
      <c r="AD36" s="398">
        <v>0</v>
      </c>
      <c r="AE36" s="188">
        <v>0</v>
      </c>
      <c r="AF36" s="189">
        <v>0</v>
      </c>
      <c r="AG36" s="398">
        <v>0</v>
      </c>
      <c r="AH36" s="188">
        <v>0</v>
      </c>
      <c r="AI36" s="189">
        <v>0</v>
      </c>
      <c r="AJ36" s="398">
        <v>0</v>
      </c>
      <c r="AK36" s="188">
        <v>0</v>
      </c>
      <c r="AL36" s="189">
        <v>0</v>
      </c>
      <c r="AM36" s="398">
        <v>0</v>
      </c>
      <c r="AN36" s="188">
        <v>0</v>
      </c>
      <c r="AO36" s="189">
        <v>0</v>
      </c>
      <c r="AP36" s="398">
        <v>0</v>
      </c>
    </row>
    <row r="37" spans="1:42" hidden="1" x14ac:dyDescent="0.2"/>
    <row r="38" spans="1:42" hidden="1" x14ac:dyDescent="0.2">
      <c r="F38" s="120">
        <f>F34+F31+F24+F18+F15+F12-F8</f>
        <v>3.9388723653246416E-2</v>
      </c>
      <c r="I38" s="120">
        <f>I34+I31+I24+I18+I15+I12-I8</f>
        <v>187277.00590984678</v>
      </c>
      <c r="L38" s="105">
        <f>L34+L31+L24+L18+L15+L12-L8</f>
        <v>-2.3469178267987445E-4</v>
      </c>
      <c r="O38" s="105">
        <f>O34+O31+O24+O18+O15+O12-O8</f>
        <v>1.2068523210473359E-4</v>
      </c>
      <c r="R38" s="105">
        <f>R34+R31+R24+R18+R15+R12-R8</f>
        <v>-5.9147336287423968E-5</v>
      </c>
      <c r="U38" s="105">
        <f>U34+U31+U24+U18+U15+U12-U8</f>
        <v>6.1593949794769287E-5</v>
      </c>
      <c r="X38" s="105">
        <f>X34+X31+X24+X18+X15+X12-X8</f>
        <v>2.8087813552701846E-4</v>
      </c>
      <c r="AA38" s="105">
        <f>AA34+AA31+AA24+AA18+AA15+AA12-AA8</f>
        <v>1.3389621443820943E-2</v>
      </c>
      <c r="AD38" s="105">
        <f>AD34+AD31+AD24+AD18+AD15+AD12-AD8</f>
        <v>0.10459660968626849</v>
      </c>
      <c r="AG38" s="105">
        <f>AG34+AG31+AG24+AG18+AG15+AG12-AG8</f>
        <v>5.2985920970968436E-2</v>
      </c>
      <c r="AJ38" s="105">
        <f>AJ34+AJ31+AJ24+AJ18+AJ15+AJ12-AJ8</f>
        <v>-1.3444042269838974E-4</v>
      </c>
      <c r="AM38" s="105">
        <f>AM34+AM31+AM24+AM18+AM15+AM12-AM8</f>
        <v>-2.0444224355742335E-4</v>
      </c>
      <c r="AP38" s="105">
        <f>AP34+AP31+AP24+AP18+AP15+AP12-AP8</f>
        <v>-4.4819859249400906E-4</v>
      </c>
    </row>
    <row r="39" spans="1:42" hidden="1" x14ac:dyDescent="0.2"/>
    <row r="40" spans="1:42" x14ac:dyDescent="0.2">
      <c r="J40" s="120"/>
      <c r="K40" s="120"/>
      <c r="M40" s="136"/>
      <c r="N40" s="136"/>
      <c r="O40" s="136"/>
      <c r="P40" s="136"/>
      <c r="Q40" s="136"/>
      <c r="R40" s="136"/>
    </row>
    <row r="41" spans="1:42" x14ac:dyDescent="0.2">
      <c r="I41" s="236"/>
      <c r="K41" s="236">
        <f>K8-K12-K14-K17</f>
        <v>4970.9309348986644</v>
      </c>
    </row>
    <row r="42" spans="1:42" x14ac:dyDescent="0.2"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</row>
    <row r="43" spans="1:42" x14ac:dyDescent="0.2">
      <c r="B43" s="132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</row>
    <row r="44" spans="1:42" x14ac:dyDescent="0.2">
      <c r="B44" s="132"/>
      <c r="AK44" s="137"/>
      <c r="AL44" s="137"/>
    </row>
    <row r="45" spans="1:42" x14ac:dyDescent="0.2">
      <c r="J45" s="120"/>
      <c r="K45" s="120"/>
      <c r="L45" s="120"/>
      <c r="M45" s="120"/>
      <c r="N45" s="120"/>
      <c r="AK45" s="133"/>
      <c r="AL45" s="133"/>
      <c r="AM45" s="133"/>
    </row>
    <row r="46" spans="1:42" x14ac:dyDescent="0.2">
      <c r="B46" s="132"/>
      <c r="G46" s="134"/>
      <c r="H46" s="134"/>
      <c r="I46" s="134"/>
      <c r="J46" s="133"/>
      <c r="K46" s="133"/>
      <c r="L46" s="133"/>
    </row>
    <row r="47" spans="1:42" x14ac:dyDescent="0.2">
      <c r="B47" s="132"/>
      <c r="G47" s="120"/>
      <c r="H47" s="120"/>
      <c r="I47" s="120"/>
    </row>
  </sheetData>
  <mergeCells count="44">
    <mergeCell ref="Y3:AA3"/>
    <mergeCell ref="A1:U1"/>
    <mergeCell ref="A2:A6"/>
    <mergeCell ref="B2:B6"/>
    <mergeCell ref="C2:C6"/>
    <mergeCell ref="D2:AP2"/>
    <mergeCell ref="D3:F3"/>
    <mergeCell ref="G3:I3"/>
    <mergeCell ref="J3:L3"/>
    <mergeCell ref="M3:O3"/>
    <mergeCell ref="P3:R3"/>
    <mergeCell ref="AK3:AM3"/>
    <mergeCell ref="AN3:AP3"/>
    <mergeCell ref="D4:F4"/>
    <mergeCell ref="G4:I4"/>
    <mergeCell ref="AB3:AD3"/>
    <mergeCell ref="AE3:AG3"/>
    <mergeCell ref="AH3:AJ3"/>
    <mergeCell ref="AB4:AD4"/>
    <mergeCell ref="AE4:AG4"/>
    <mergeCell ref="AH4:AJ4"/>
    <mergeCell ref="J4:L4"/>
    <mergeCell ref="M4:O4"/>
    <mergeCell ref="V3:X3"/>
    <mergeCell ref="D5:F5"/>
    <mergeCell ref="G5:I5"/>
    <mergeCell ref="J5:L5"/>
    <mergeCell ref="M5:O5"/>
    <mergeCell ref="P5:R5"/>
    <mergeCell ref="P4:R4"/>
    <mergeCell ref="S4:U4"/>
    <mergeCell ref="V4:X4"/>
    <mergeCell ref="S3:U3"/>
    <mergeCell ref="AK4:AM4"/>
    <mergeCell ref="AN4:AP4"/>
    <mergeCell ref="AK5:AM5"/>
    <mergeCell ref="AN5:AP5"/>
    <mergeCell ref="S5:U5"/>
    <mergeCell ref="V5:X5"/>
    <mergeCell ref="Y5:AA5"/>
    <mergeCell ref="AB5:AD5"/>
    <mergeCell ref="AE5:AG5"/>
    <mergeCell ref="AH5:AJ5"/>
    <mergeCell ref="Y4:AA4"/>
  </mergeCells>
  <printOptions horizontalCentered="1"/>
  <pageMargins left="0.39370078740157483" right="0.39370078740157483" top="1.1811023622047245" bottom="0.39370078740157483" header="0.31496062992125984" footer="0.31496062992125984"/>
  <pageSetup paperSize="9" scale="43" fitToWidth="2" orientation="landscape" blackAndWhite="1" r:id="rId1"/>
  <colBreaks count="1" manualBreakCount="1">
    <brk id="2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E61"/>
  <sheetViews>
    <sheetView view="pageBreakPreview" topLeftCell="B37" zoomScale="85" zoomScaleNormal="100" zoomScaleSheetLayoutView="85" workbookViewId="0">
      <selection activeCell="E60" sqref="E60"/>
    </sheetView>
  </sheetViews>
  <sheetFormatPr defaultColWidth="9.140625" defaultRowHeight="15.75" x14ac:dyDescent="0.25"/>
  <cols>
    <col min="1" max="1" width="3.7109375" style="346" hidden="1" customWidth="1"/>
    <col min="2" max="2" width="9.85546875" style="346" customWidth="1"/>
    <col min="3" max="3" width="64.5703125" style="346" customWidth="1"/>
    <col min="4" max="5" width="18.5703125" style="346" customWidth="1"/>
    <col min="6" max="16384" width="9.140625" style="346"/>
  </cols>
  <sheetData>
    <row r="1" spans="1:5" ht="66" customHeight="1" x14ac:dyDescent="0.25">
      <c r="B1" s="478" t="s">
        <v>144</v>
      </c>
      <c r="C1" s="478"/>
      <c r="D1" s="478"/>
      <c r="E1" s="478"/>
    </row>
    <row r="2" spans="1:5" ht="12" customHeight="1" x14ac:dyDescent="0.25">
      <c r="B2" s="284"/>
      <c r="C2" s="284"/>
      <c r="D2" s="284"/>
      <c r="E2" s="347"/>
    </row>
    <row r="3" spans="1:5" ht="38.25" customHeight="1" x14ac:dyDescent="0.25">
      <c r="B3" s="479" t="s">
        <v>145</v>
      </c>
      <c r="C3" s="479"/>
      <c r="D3" s="479"/>
      <c r="E3" s="479"/>
    </row>
    <row r="4" spans="1:5" s="359" customFormat="1" ht="81.75" customHeight="1" x14ac:dyDescent="0.2">
      <c r="B4" s="286" t="s">
        <v>221</v>
      </c>
      <c r="C4" s="285" t="s">
        <v>26</v>
      </c>
      <c r="D4" s="286" t="s">
        <v>1</v>
      </c>
      <c r="E4" s="285" t="s">
        <v>27</v>
      </c>
    </row>
    <row r="5" spans="1:5" s="349" customFormat="1" x14ac:dyDescent="0.25">
      <c r="B5" s="286">
        <v>1</v>
      </c>
      <c r="C5" s="285">
        <v>2</v>
      </c>
      <c r="D5" s="286">
        <v>3</v>
      </c>
      <c r="E5" s="285">
        <v>4</v>
      </c>
    </row>
    <row r="6" spans="1:5" ht="15" customHeight="1" x14ac:dyDescent="0.25">
      <c r="B6" s="228" t="s">
        <v>5</v>
      </c>
      <c r="C6" s="283" t="s">
        <v>12</v>
      </c>
      <c r="D6" s="229"/>
      <c r="E6" s="351"/>
    </row>
    <row r="7" spans="1:5" ht="15" customHeight="1" x14ac:dyDescent="0.25">
      <c r="B7" s="282" t="s">
        <v>146</v>
      </c>
      <c r="C7" s="281" t="s">
        <v>147</v>
      </c>
      <c r="D7" s="282" t="s">
        <v>140</v>
      </c>
      <c r="E7" s="352">
        <v>3944.3457000000012</v>
      </c>
    </row>
    <row r="8" spans="1:5" ht="15" customHeight="1" x14ac:dyDescent="0.25">
      <c r="B8" s="282" t="s">
        <v>148</v>
      </c>
      <c r="C8" s="281" t="s">
        <v>208</v>
      </c>
      <c r="D8" s="282" t="s">
        <v>150</v>
      </c>
      <c r="E8" s="352">
        <v>462.8125</v>
      </c>
    </row>
    <row r="9" spans="1:5" ht="15" customHeight="1" x14ac:dyDescent="0.25">
      <c r="B9" s="282" t="s">
        <v>151</v>
      </c>
      <c r="C9" s="281" t="s">
        <v>209</v>
      </c>
      <c r="D9" s="282" t="s">
        <v>150</v>
      </c>
      <c r="E9" s="352">
        <v>238.48416666666668</v>
      </c>
    </row>
    <row r="10" spans="1:5" ht="15" customHeight="1" x14ac:dyDescent="0.25">
      <c r="B10" s="282" t="s">
        <v>153</v>
      </c>
      <c r="C10" s="281" t="s">
        <v>149</v>
      </c>
      <c r="D10" s="282" t="s">
        <v>150</v>
      </c>
      <c r="E10" s="352">
        <v>3320.7526436233347</v>
      </c>
    </row>
    <row r="11" spans="1:5" ht="15" customHeight="1" x14ac:dyDescent="0.25">
      <c r="B11" s="282" t="s">
        <v>155</v>
      </c>
      <c r="C11" s="281" t="s">
        <v>149</v>
      </c>
      <c r="D11" s="282" t="s">
        <v>152</v>
      </c>
      <c r="E11" s="352">
        <f>[8]У_Копи!$X$52</f>
        <v>4125.1746546058366</v>
      </c>
    </row>
    <row r="12" spans="1:5" ht="15" customHeight="1" x14ac:dyDescent="0.25">
      <c r="B12" s="282" t="s">
        <v>210</v>
      </c>
      <c r="C12" s="281" t="s">
        <v>149</v>
      </c>
      <c r="D12" s="282" t="s">
        <v>154</v>
      </c>
      <c r="E12" s="352">
        <v>4259.5315931063487</v>
      </c>
    </row>
    <row r="13" spans="1:5" ht="15" customHeight="1" x14ac:dyDescent="0.25">
      <c r="B13" s="230" t="s">
        <v>211</v>
      </c>
      <c r="C13" s="356" t="s">
        <v>149</v>
      </c>
      <c r="D13" s="230" t="s">
        <v>156</v>
      </c>
      <c r="E13" s="353">
        <f>[7]У_Копи!$Q$52</f>
        <v>4469.952453805804</v>
      </c>
    </row>
    <row r="14" spans="1:5" ht="15" customHeight="1" x14ac:dyDescent="0.25">
      <c r="A14" s="348"/>
      <c r="B14" s="228" t="s">
        <v>6</v>
      </c>
      <c r="C14" s="283" t="s">
        <v>11</v>
      </c>
      <c r="D14" s="229"/>
      <c r="E14" s="354"/>
    </row>
    <row r="15" spans="1:5" ht="15" customHeight="1" x14ac:dyDescent="0.25">
      <c r="A15" s="348"/>
      <c r="B15" s="231" t="s">
        <v>157</v>
      </c>
      <c r="C15" s="281" t="s">
        <v>158</v>
      </c>
      <c r="D15" s="357" t="s">
        <v>140</v>
      </c>
      <c r="E15" s="352">
        <v>4978.625</v>
      </c>
    </row>
    <row r="16" spans="1:5" ht="15" customHeight="1" x14ac:dyDescent="0.25">
      <c r="A16" s="348"/>
      <c r="B16" s="231" t="s">
        <v>159</v>
      </c>
      <c r="C16" s="281" t="s">
        <v>160</v>
      </c>
      <c r="D16" s="357" t="s">
        <v>140</v>
      </c>
      <c r="E16" s="352">
        <v>648.05520000000024</v>
      </c>
    </row>
    <row r="17" spans="1:5" ht="15" customHeight="1" x14ac:dyDescent="0.25">
      <c r="A17" s="348"/>
      <c r="B17" s="231" t="s">
        <v>161</v>
      </c>
      <c r="C17" s="281" t="s">
        <v>162</v>
      </c>
      <c r="D17" s="357" t="s">
        <v>140</v>
      </c>
      <c r="E17" s="352">
        <v>1122.5808000000002</v>
      </c>
    </row>
    <row r="18" spans="1:5" ht="15" customHeight="1" x14ac:dyDescent="0.25">
      <c r="A18" s="348"/>
      <c r="B18" s="231" t="s">
        <v>163</v>
      </c>
      <c r="C18" s="281" t="s">
        <v>164</v>
      </c>
      <c r="D18" s="357" t="s">
        <v>140</v>
      </c>
      <c r="E18" s="352">
        <v>289.38112881355943</v>
      </c>
    </row>
    <row r="19" spans="1:5" ht="15" customHeight="1" x14ac:dyDescent="0.25">
      <c r="A19" s="348"/>
      <c r="B19" s="282" t="s">
        <v>165</v>
      </c>
      <c r="C19" s="281" t="s">
        <v>149</v>
      </c>
      <c r="D19" s="282" t="s">
        <v>150</v>
      </c>
      <c r="E19" s="352">
        <v>7177.3033787511868</v>
      </c>
    </row>
    <row r="20" spans="1:5" ht="15" customHeight="1" x14ac:dyDescent="0.25">
      <c r="A20" s="348"/>
      <c r="B20" s="282" t="s">
        <v>166</v>
      </c>
      <c r="C20" s="281" t="s">
        <v>149</v>
      </c>
      <c r="D20" s="282" t="s">
        <v>152</v>
      </c>
      <c r="E20" s="352">
        <f>[8]Канч!$X$52</f>
        <v>7361.3294373823692</v>
      </c>
    </row>
    <row r="21" spans="1:5" ht="15" customHeight="1" x14ac:dyDescent="0.25">
      <c r="A21" s="348"/>
      <c r="B21" s="282" t="s">
        <v>167</v>
      </c>
      <c r="C21" s="281" t="s">
        <v>149</v>
      </c>
      <c r="D21" s="282" t="s">
        <v>154</v>
      </c>
      <c r="E21" s="352">
        <v>7601.0879371579131</v>
      </c>
    </row>
    <row r="22" spans="1:5" ht="15" customHeight="1" x14ac:dyDescent="0.25">
      <c r="A22" s="348"/>
      <c r="B22" s="230" t="s">
        <v>168</v>
      </c>
      <c r="C22" s="356" t="s">
        <v>149</v>
      </c>
      <c r="D22" s="230" t="s">
        <v>156</v>
      </c>
      <c r="E22" s="353">
        <f>[7]Канч!$Q$52</f>
        <v>7976.581681253514</v>
      </c>
    </row>
    <row r="23" spans="1:5" ht="15" customHeight="1" x14ac:dyDescent="0.25">
      <c r="A23" s="350"/>
      <c r="B23" s="228" t="s">
        <v>7</v>
      </c>
      <c r="C23" s="283" t="s">
        <v>14</v>
      </c>
      <c r="D23" s="229"/>
      <c r="E23" s="354"/>
    </row>
    <row r="24" spans="1:5" ht="15" customHeight="1" x14ac:dyDescent="0.25">
      <c r="B24" s="282" t="s">
        <v>169</v>
      </c>
      <c r="C24" s="281" t="s">
        <v>170</v>
      </c>
      <c r="D24" s="357" t="s">
        <v>140</v>
      </c>
      <c r="E24" s="352">
        <v>761.7</v>
      </c>
    </row>
    <row r="25" spans="1:5" ht="15" customHeight="1" x14ac:dyDescent="0.25">
      <c r="B25" s="282" t="s">
        <v>171</v>
      </c>
      <c r="C25" s="281" t="s">
        <v>172</v>
      </c>
      <c r="D25" s="357" t="s">
        <v>140</v>
      </c>
      <c r="E25" s="352">
        <v>2638.67</v>
      </c>
    </row>
    <row r="26" spans="1:5" ht="15" customHeight="1" x14ac:dyDescent="0.25">
      <c r="B26" s="282" t="s">
        <v>173</v>
      </c>
      <c r="C26" s="281" t="s">
        <v>212</v>
      </c>
      <c r="D26" s="282" t="s">
        <v>150</v>
      </c>
      <c r="E26" s="352">
        <v>776.65250000000003</v>
      </c>
    </row>
    <row r="27" spans="1:5" ht="15" customHeight="1" x14ac:dyDescent="0.25">
      <c r="B27" s="282" t="s">
        <v>174</v>
      </c>
      <c r="C27" s="281" t="s">
        <v>149</v>
      </c>
      <c r="D27" s="282" t="s">
        <v>150</v>
      </c>
      <c r="E27" s="352">
        <v>2690.7048131962724</v>
      </c>
    </row>
    <row r="28" spans="1:5" ht="15" customHeight="1" x14ac:dyDescent="0.25">
      <c r="B28" s="282" t="s">
        <v>175</v>
      </c>
      <c r="C28" s="281" t="s">
        <v>149</v>
      </c>
      <c r="D28" s="282" t="s">
        <v>152</v>
      </c>
      <c r="E28" s="352">
        <f>[8]Беринг!$X$52</f>
        <v>3556.2603547066265</v>
      </c>
    </row>
    <row r="29" spans="1:5" ht="15" customHeight="1" x14ac:dyDescent="0.25">
      <c r="B29" s="282" t="s">
        <v>176</v>
      </c>
      <c r="C29" s="281" t="s">
        <v>149</v>
      </c>
      <c r="D29" s="282" t="s">
        <v>154</v>
      </c>
      <c r="E29" s="352">
        <v>3672.0877544594214</v>
      </c>
    </row>
    <row r="30" spans="1:5" ht="15" customHeight="1" x14ac:dyDescent="0.25">
      <c r="B30" s="230" t="s">
        <v>213</v>
      </c>
      <c r="C30" s="356" t="s">
        <v>149</v>
      </c>
      <c r="D30" s="230" t="s">
        <v>156</v>
      </c>
      <c r="E30" s="353">
        <f>[7]Беринг!$Q$52</f>
        <v>3853.4888895297172</v>
      </c>
    </row>
    <row r="31" spans="1:5" ht="15" customHeight="1" x14ac:dyDescent="0.25">
      <c r="B31" s="228" t="s">
        <v>8</v>
      </c>
      <c r="C31" s="283" t="s">
        <v>15</v>
      </c>
      <c r="D31" s="229"/>
      <c r="E31" s="351"/>
    </row>
    <row r="32" spans="1:5" ht="15" customHeight="1" x14ac:dyDescent="0.25">
      <c r="B32" s="282" t="s">
        <v>177</v>
      </c>
      <c r="C32" s="281" t="s">
        <v>178</v>
      </c>
      <c r="D32" s="282" t="s">
        <v>140</v>
      </c>
      <c r="E32" s="352">
        <v>2792.7918000000009</v>
      </c>
    </row>
    <row r="33" spans="2:5" ht="15" customHeight="1" x14ac:dyDescent="0.25">
      <c r="B33" s="282" t="s">
        <v>179</v>
      </c>
      <c r="C33" s="281" t="s">
        <v>214</v>
      </c>
      <c r="D33" s="282" t="s">
        <v>150</v>
      </c>
      <c r="E33" s="352">
        <v>2847.8097984600008</v>
      </c>
    </row>
    <row r="34" spans="2:5" ht="15" customHeight="1" x14ac:dyDescent="0.25">
      <c r="B34" s="282" t="s">
        <v>180</v>
      </c>
      <c r="C34" s="281" t="s">
        <v>149</v>
      </c>
      <c r="D34" s="282" t="s">
        <v>152</v>
      </c>
      <c r="E34" s="352">
        <f>[8]Мейнып!$X$52</f>
        <v>2920.8276416925155</v>
      </c>
    </row>
    <row r="35" spans="2:5" ht="15" customHeight="1" x14ac:dyDescent="0.25">
      <c r="B35" s="282" t="s">
        <v>181</v>
      </c>
      <c r="C35" s="281" t="s">
        <v>149</v>
      </c>
      <c r="D35" s="282" t="s">
        <v>154</v>
      </c>
      <c r="E35" s="352">
        <v>3015.9589979824409</v>
      </c>
    </row>
    <row r="36" spans="2:5" ht="15" customHeight="1" x14ac:dyDescent="0.25">
      <c r="B36" s="230" t="s">
        <v>182</v>
      </c>
      <c r="C36" s="356" t="s">
        <v>149</v>
      </c>
      <c r="D36" s="230" t="s">
        <v>156</v>
      </c>
      <c r="E36" s="353">
        <f>[7]Мейнып!$Q$52</f>
        <v>3164.9473724827735</v>
      </c>
    </row>
    <row r="37" spans="2:5" ht="15" customHeight="1" x14ac:dyDescent="0.25">
      <c r="B37" s="228" t="s">
        <v>9</v>
      </c>
      <c r="C37" s="283" t="s">
        <v>17</v>
      </c>
      <c r="D37" s="229"/>
      <c r="E37" s="354"/>
    </row>
    <row r="38" spans="2:5" ht="15" customHeight="1" x14ac:dyDescent="0.25">
      <c r="B38" s="282" t="s">
        <v>183</v>
      </c>
      <c r="C38" s="281" t="s">
        <v>184</v>
      </c>
      <c r="D38" s="282" t="s">
        <v>140</v>
      </c>
      <c r="E38" s="352">
        <v>3309.6234330508487</v>
      </c>
    </row>
    <row r="39" spans="2:5" ht="15" customHeight="1" x14ac:dyDescent="0.25">
      <c r="B39" s="282" t="s">
        <v>185</v>
      </c>
      <c r="C39" s="281" t="s">
        <v>215</v>
      </c>
      <c r="D39" s="282" t="s">
        <v>150</v>
      </c>
      <c r="E39" s="352">
        <v>1430.55</v>
      </c>
    </row>
    <row r="40" spans="2:5" ht="15" customHeight="1" x14ac:dyDescent="0.25">
      <c r="B40" s="282" t="s">
        <v>186</v>
      </c>
      <c r="C40" s="281" t="s">
        <v>149</v>
      </c>
      <c r="D40" s="282" t="s">
        <v>150</v>
      </c>
      <c r="E40" s="352">
        <v>1944.2730146819506</v>
      </c>
    </row>
    <row r="41" spans="2:5" ht="15" customHeight="1" x14ac:dyDescent="0.25">
      <c r="B41" s="282" t="s">
        <v>187</v>
      </c>
      <c r="C41" s="281" t="s">
        <v>149</v>
      </c>
      <c r="D41" s="282" t="s">
        <v>152</v>
      </c>
      <c r="E41" s="352">
        <f>[8]Ваеги!$X$52</f>
        <v>3461.3534767783967</v>
      </c>
    </row>
    <row r="42" spans="2:5" ht="15" customHeight="1" x14ac:dyDescent="0.25">
      <c r="B42" s="282" t="s">
        <v>188</v>
      </c>
      <c r="C42" s="281" t="s">
        <v>149</v>
      </c>
      <c r="D42" s="282" t="s">
        <v>154</v>
      </c>
      <c r="E42" s="352">
        <v>3574.0897595170691</v>
      </c>
    </row>
    <row r="43" spans="2:5" ht="15" customHeight="1" x14ac:dyDescent="0.25">
      <c r="B43" s="230" t="s">
        <v>216</v>
      </c>
      <c r="C43" s="356" t="s">
        <v>149</v>
      </c>
      <c r="D43" s="230" t="s">
        <v>156</v>
      </c>
      <c r="E43" s="353">
        <f>[7]Ваеги!$Q$52</f>
        <v>3750.649793637212</v>
      </c>
    </row>
    <row r="44" spans="2:5" ht="15" customHeight="1" x14ac:dyDescent="0.25">
      <c r="B44" s="228" t="s">
        <v>10</v>
      </c>
      <c r="C44" s="283" t="s">
        <v>19</v>
      </c>
      <c r="D44" s="229"/>
      <c r="E44" s="354"/>
    </row>
    <row r="45" spans="2:5" ht="15" customHeight="1" x14ac:dyDescent="0.25">
      <c r="B45" s="282" t="s">
        <v>102</v>
      </c>
      <c r="C45" s="281" t="s">
        <v>189</v>
      </c>
      <c r="D45" s="282" t="s">
        <v>140</v>
      </c>
      <c r="E45" s="352">
        <v>4076.8860000000004</v>
      </c>
    </row>
    <row r="46" spans="2:5" ht="15" customHeight="1" x14ac:dyDescent="0.25">
      <c r="B46" s="282" t="s">
        <v>190</v>
      </c>
      <c r="C46" s="281" t="s">
        <v>189</v>
      </c>
      <c r="D46" s="282" t="s">
        <v>150</v>
      </c>
      <c r="E46" s="352">
        <v>4157.2006542000008</v>
      </c>
    </row>
    <row r="47" spans="2:5" ht="15" customHeight="1" x14ac:dyDescent="0.25">
      <c r="B47" s="282" t="s">
        <v>191</v>
      </c>
      <c r="C47" s="281" t="s">
        <v>149</v>
      </c>
      <c r="D47" s="282" t="s">
        <v>152</v>
      </c>
      <c r="E47" s="352">
        <f>[8]Марк!$X$52</f>
        <v>4263.7912789736893</v>
      </c>
    </row>
    <row r="48" spans="2:5" ht="15" customHeight="1" x14ac:dyDescent="0.25">
      <c r="B48" s="282" t="s">
        <v>192</v>
      </c>
      <c r="C48" s="281" t="s">
        <v>149</v>
      </c>
      <c r="D48" s="282" t="s">
        <v>154</v>
      </c>
      <c r="E48" s="352">
        <v>4402.6629609298625</v>
      </c>
    </row>
    <row r="49" spans="2:5" ht="15" customHeight="1" x14ac:dyDescent="0.25">
      <c r="B49" s="230" t="s">
        <v>193</v>
      </c>
      <c r="C49" s="356" t="s">
        <v>149</v>
      </c>
      <c r="D49" s="230" t="s">
        <v>156</v>
      </c>
      <c r="E49" s="353">
        <f>[7]Марк!$Q$52</f>
        <v>4620.1545111997975</v>
      </c>
    </row>
    <row r="50" spans="2:5" ht="15" customHeight="1" x14ac:dyDescent="0.25">
      <c r="B50" s="228" t="s">
        <v>41</v>
      </c>
      <c r="C50" s="283" t="s">
        <v>22</v>
      </c>
      <c r="D50" s="229"/>
      <c r="E50" s="354"/>
    </row>
    <row r="51" spans="2:5" ht="15" customHeight="1" x14ac:dyDescent="0.25">
      <c r="B51" s="282" t="s">
        <v>112</v>
      </c>
      <c r="C51" s="281" t="s">
        <v>194</v>
      </c>
      <c r="D51" s="357" t="s">
        <v>140</v>
      </c>
      <c r="E51" s="352">
        <v>1210.93</v>
      </c>
    </row>
    <row r="52" spans="2:5" ht="15" customHeight="1" x14ac:dyDescent="0.25">
      <c r="B52" s="282" t="s">
        <v>117</v>
      </c>
      <c r="C52" s="281" t="s">
        <v>195</v>
      </c>
      <c r="D52" s="357" t="s">
        <v>140</v>
      </c>
      <c r="E52" s="352">
        <v>1760.61</v>
      </c>
    </row>
    <row r="53" spans="2:5" ht="15" customHeight="1" x14ac:dyDescent="0.25">
      <c r="B53" s="282" t="s">
        <v>196</v>
      </c>
      <c r="C53" s="281" t="s">
        <v>197</v>
      </c>
      <c r="D53" s="357" t="s">
        <v>140</v>
      </c>
      <c r="E53" s="352">
        <v>1325.55</v>
      </c>
    </row>
    <row r="54" spans="2:5" ht="15" customHeight="1" x14ac:dyDescent="0.25">
      <c r="B54" s="282" t="s">
        <v>198</v>
      </c>
      <c r="C54" s="281" t="s">
        <v>217</v>
      </c>
      <c r="D54" s="282" t="s">
        <v>150</v>
      </c>
      <c r="E54" s="352">
        <v>1162.6057499999999</v>
      </c>
    </row>
    <row r="55" spans="2:5" ht="15" customHeight="1" x14ac:dyDescent="0.25">
      <c r="B55" s="282" t="s">
        <v>199</v>
      </c>
      <c r="C55" s="281" t="s">
        <v>218</v>
      </c>
      <c r="D55" s="282" t="s">
        <v>150</v>
      </c>
      <c r="E55" s="352">
        <v>1537.5622499999999</v>
      </c>
    </row>
    <row r="56" spans="2:5" ht="15" customHeight="1" x14ac:dyDescent="0.25">
      <c r="B56" s="282" t="s">
        <v>200</v>
      </c>
      <c r="C56" s="281" t="s">
        <v>149</v>
      </c>
      <c r="D56" s="282" t="s">
        <v>150</v>
      </c>
      <c r="E56" s="352">
        <v>1681.5755043147474</v>
      </c>
    </row>
    <row r="57" spans="2:5" ht="15" customHeight="1" x14ac:dyDescent="0.25">
      <c r="B57" s="282" t="s">
        <v>201</v>
      </c>
      <c r="C57" s="281" t="s">
        <v>149</v>
      </c>
      <c r="D57" s="282" t="s">
        <v>152</v>
      </c>
      <c r="E57" s="352">
        <f>[8]Провид!$X$52</f>
        <v>4494.0914077653779</v>
      </c>
    </row>
    <row r="58" spans="2:5" ht="15" customHeight="1" x14ac:dyDescent="0.25">
      <c r="B58" s="232" t="s">
        <v>219</v>
      </c>
      <c r="C58" s="281" t="s">
        <v>149</v>
      </c>
      <c r="D58" s="282" t="s">
        <v>154</v>
      </c>
      <c r="E58" s="352">
        <v>4640.4639649162964</v>
      </c>
    </row>
    <row r="59" spans="2:5" ht="15" customHeight="1" x14ac:dyDescent="0.25">
      <c r="B59" s="230" t="s">
        <v>220</v>
      </c>
      <c r="C59" s="356" t="s">
        <v>149</v>
      </c>
      <c r="D59" s="230" t="s">
        <v>156</v>
      </c>
      <c r="E59" s="353">
        <f>[7]Провид!$Q$52</f>
        <v>4869.7028847831616</v>
      </c>
    </row>
    <row r="60" spans="2:5" ht="15" customHeight="1" x14ac:dyDescent="0.25">
      <c r="B60" s="286" t="s">
        <v>28</v>
      </c>
      <c r="C60" s="358"/>
      <c r="D60" s="286"/>
      <c r="E60" s="355">
        <f>SUM(E7:E59)</f>
        <v>152342.22484242465</v>
      </c>
    </row>
    <row r="61" spans="2:5" ht="15.75" customHeight="1" x14ac:dyDescent="0.25">
      <c r="B61" s="233"/>
      <c r="C61" s="234"/>
      <c r="D61" s="235"/>
    </row>
  </sheetData>
  <mergeCells count="2">
    <mergeCell ref="B1:E1"/>
    <mergeCell ref="B3:E3"/>
  </mergeCells>
  <printOptions horizontalCentered="1"/>
  <pageMargins left="1.1811023622047245" right="0.39370078740157483" top="0.39370078740157483" bottom="0.39370078740157483" header="0" footer="0"/>
  <pageSetup paperSize="9" scale="7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B13" zoomScaleNormal="100" workbookViewId="0">
      <selection activeCell="J52" sqref="J52"/>
    </sheetView>
  </sheetViews>
  <sheetFormatPr defaultRowHeight="15.75" x14ac:dyDescent="0.25"/>
  <cols>
    <col min="1" max="1" width="3.7109375" style="138" hidden="1" customWidth="1"/>
    <col min="2" max="2" width="7.42578125" style="138" customWidth="1"/>
    <col min="3" max="3" width="31" style="138" customWidth="1"/>
    <col min="4" max="4" width="15.140625" style="138" customWidth="1"/>
    <col min="5" max="9" width="12" style="138" customWidth="1"/>
    <col min="10" max="16384" width="9.140625" style="138"/>
  </cols>
  <sheetData>
    <row r="1" spans="2:9" ht="18" customHeight="1" x14ac:dyDescent="0.25">
      <c r="B1" s="493" t="s">
        <v>202</v>
      </c>
      <c r="C1" s="493"/>
      <c r="D1" s="493"/>
      <c r="E1" s="493"/>
      <c r="F1" s="493"/>
      <c r="G1" s="493"/>
      <c r="H1" s="493"/>
      <c r="I1" s="493"/>
    </row>
    <row r="2" spans="2:9" ht="70.5" customHeight="1" x14ac:dyDescent="0.25">
      <c r="B2" s="175" t="s">
        <v>25</v>
      </c>
      <c r="C2" s="484" t="s">
        <v>26</v>
      </c>
      <c r="D2" s="485"/>
      <c r="E2" s="486"/>
      <c r="F2" s="129" t="s">
        <v>203</v>
      </c>
      <c r="G2" s="484" t="s">
        <v>27</v>
      </c>
      <c r="H2" s="485"/>
      <c r="I2" s="486"/>
    </row>
    <row r="3" spans="2:9" x14ac:dyDescent="0.25">
      <c r="B3" s="129">
        <v>1</v>
      </c>
      <c r="C3" s="484">
        <v>2</v>
      </c>
      <c r="D3" s="485"/>
      <c r="E3" s="486"/>
      <c r="F3" s="129">
        <v>3</v>
      </c>
      <c r="G3" s="484">
        <v>4</v>
      </c>
      <c r="H3" s="485"/>
      <c r="I3" s="486"/>
    </row>
    <row r="4" spans="2:9" x14ac:dyDescent="0.25">
      <c r="B4" s="130" t="s">
        <v>5</v>
      </c>
      <c r="C4" s="484"/>
      <c r="D4" s="485"/>
      <c r="E4" s="486"/>
      <c r="F4" s="130"/>
      <c r="G4" s="484"/>
      <c r="H4" s="485"/>
      <c r="I4" s="486"/>
    </row>
    <row r="5" spans="2:9" x14ac:dyDescent="0.25">
      <c r="B5" s="5" t="s">
        <v>28</v>
      </c>
      <c r="C5" s="489"/>
      <c r="D5" s="490"/>
      <c r="E5" s="491"/>
      <c r="F5" s="6"/>
      <c r="G5" s="484"/>
      <c r="H5" s="485"/>
      <c r="I5" s="486"/>
    </row>
    <row r="6" spans="2:9" ht="18" customHeight="1" x14ac:dyDescent="0.25">
      <c r="B6" s="480" t="s">
        <v>39</v>
      </c>
      <c r="C6" s="480"/>
      <c r="D6" s="480"/>
      <c r="E6" s="480"/>
      <c r="F6" s="480"/>
      <c r="G6" s="480"/>
      <c r="H6" s="480"/>
      <c r="I6" s="480"/>
    </row>
    <row r="7" spans="2:9" ht="15.75" customHeight="1" x14ac:dyDescent="0.25">
      <c r="B7" s="7"/>
      <c r="C7" s="7"/>
      <c r="D7" s="7"/>
      <c r="E7" s="7"/>
    </row>
    <row r="8" spans="2:9" ht="31.5" customHeight="1" x14ac:dyDescent="0.25">
      <c r="B8" s="492" t="s">
        <v>204</v>
      </c>
      <c r="C8" s="492"/>
      <c r="D8" s="492"/>
      <c r="E8" s="492"/>
      <c r="F8" s="492"/>
      <c r="G8" s="492"/>
      <c r="H8" s="492"/>
      <c r="I8" s="492"/>
    </row>
    <row r="9" spans="2:9" ht="74.25" customHeight="1" x14ac:dyDescent="0.25">
      <c r="B9" s="175" t="s">
        <v>29</v>
      </c>
      <c r="C9" s="484" t="s">
        <v>26</v>
      </c>
      <c r="D9" s="485"/>
      <c r="E9" s="486"/>
      <c r="F9" s="129" t="s">
        <v>203</v>
      </c>
      <c r="G9" s="484" t="s">
        <v>27</v>
      </c>
      <c r="H9" s="485"/>
      <c r="I9" s="486"/>
    </row>
    <row r="10" spans="2:9" x14ac:dyDescent="0.25">
      <c r="B10" s="129">
        <v>1</v>
      </c>
      <c r="C10" s="484">
        <v>2</v>
      </c>
      <c r="D10" s="485"/>
      <c r="E10" s="486"/>
      <c r="F10" s="129">
        <v>3</v>
      </c>
      <c r="G10" s="484">
        <v>4</v>
      </c>
      <c r="H10" s="485"/>
      <c r="I10" s="486"/>
    </row>
    <row r="11" spans="2:9" x14ac:dyDescent="0.25">
      <c r="B11" s="130" t="s">
        <v>5</v>
      </c>
      <c r="C11" s="484"/>
      <c r="D11" s="485"/>
      <c r="E11" s="486"/>
      <c r="F11" s="130"/>
      <c r="G11" s="484"/>
      <c r="H11" s="485"/>
      <c r="I11" s="486"/>
    </row>
    <row r="12" spans="2:9" x14ac:dyDescent="0.25">
      <c r="B12" s="5" t="s">
        <v>28</v>
      </c>
      <c r="C12" s="489"/>
      <c r="D12" s="490"/>
      <c r="E12" s="491"/>
      <c r="F12" s="6"/>
      <c r="G12" s="484"/>
      <c r="H12" s="485"/>
      <c r="I12" s="486"/>
    </row>
    <row r="13" spans="2:9" ht="34.5" customHeight="1" x14ac:dyDescent="0.25">
      <c r="B13" s="480" t="s">
        <v>42</v>
      </c>
      <c r="C13" s="480"/>
      <c r="D13" s="480"/>
      <c r="E13" s="480"/>
      <c r="F13" s="480"/>
      <c r="G13" s="480"/>
      <c r="H13" s="480"/>
      <c r="I13" s="480"/>
    </row>
    <row r="14" spans="2:9" x14ac:dyDescent="0.25">
      <c r="B14" s="2"/>
      <c r="C14" s="3"/>
      <c r="D14" s="4"/>
      <c r="E14" s="4"/>
    </row>
    <row r="15" spans="2:9" ht="20.45" customHeight="1" x14ac:dyDescent="0.25">
      <c r="B15" s="481" t="s">
        <v>205</v>
      </c>
      <c r="C15" s="481"/>
      <c r="D15" s="481"/>
      <c r="E15" s="481"/>
      <c r="F15" s="481"/>
      <c r="G15" s="481"/>
      <c r="H15" s="481"/>
      <c r="I15" s="481"/>
    </row>
    <row r="16" spans="2:9" ht="21" customHeight="1" x14ac:dyDescent="0.25">
      <c r="B16" s="487" t="s">
        <v>29</v>
      </c>
      <c r="C16" s="482" t="s">
        <v>24</v>
      </c>
      <c r="D16" s="482" t="s">
        <v>30</v>
      </c>
      <c r="E16" s="484" t="s">
        <v>31</v>
      </c>
      <c r="F16" s="485"/>
      <c r="G16" s="485"/>
      <c r="H16" s="485"/>
      <c r="I16" s="486"/>
    </row>
    <row r="17" spans="2:9" ht="18.75" customHeight="1" x14ac:dyDescent="0.25">
      <c r="B17" s="488"/>
      <c r="C17" s="483"/>
      <c r="D17" s="483"/>
      <c r="E17" s="129" t="s">
        <v>140</v>
      </c>
      <c r="F17" s="129" t="s">
        <v>150</v>
      </c>
      <c r="G17" s="129" t="s">
        <v>152</v>
      </c>
      <c r="H17" s="129" t="s">
        <v>154</v>
      </c>
      <c r="I17" s="129" t="s">
        <v>156</v>
      </c>
    </row>
    <row r="18" spans="2:9" x14ac:dyDescent="0.25">
      <c r="B18" s="129">
        <v>1</v>
      </c>
      <c r="C18" s="129">
        <f t="shared" ref="C18:I18" si="0">B18+1</f>
        <v>2</v>
      </c>
      <c r="D18" s="129">
        <f t="shared" si="0"/>
        <v>3</v>
      </c>
      <c r="E18" s="129">
        <f t="shared" si="0"/>
        <v>4</v>
      </c>
      <c r="F18" s="129">
        <f t="shared" si="0"/>
        <v>5</v>
      </c>
      <c r="G18" s="129">
        <f t="shared" si="0"/>
        <v>6</v>
      </c>
      <c r="H18" s="129">
        <f t="shared" si="0"/>
        <v>7</v>
      </c>
      <c r="I18" s="129">
        <f t="shared" si="0"/>
        <v>8</v>
      </c>
    </row>
    <row r="19" spans="2:9" x14ac:dyDescent="0.25">
      <c r="B19" s="139" t="s">
        <v>5</v>
      </c>
      <c r="C19" s="365" t="s">
        <v>11</v>
      </c>
      <c r="D19" s="366" t="s">
        <v>3</v>
      </c>
      <c r="E19" s="367">
        <v>8129.034633809184</v>
      </c>
      <c r="F19" s="368">
        <v>18019.905878798832</v>
      </c>
      <c r="G19" s="369">
        <f>[8]Канч!$X$112+[8]Канч!$X$117</f>
        <v>19206.116031953687</v>
      </c>
      <c r="H19" s="364">
        <v>13141.189102952341</v>
      </c>
      <c r="I19" s="369">
        <f>[7]Канч!$Q$117</f>
        <v>22031.740172664129</v>
      </c>
    </row>
    <row r="20" spans="2:9" x14ac:dyDescent="0.25">
      <c r="B20" s="140" t="s">
        <v>6</v>
      </c>
      <c r="C20" s="370" t="s">
        <v>12</v>
      </c>
      <c r="D20" s="371" t="s">
        <v>3</v>
      </c>
      <c r="E20" s="367">
        <v>96518.528922995654</v>
      </c>
      <c r="F20" s="368">
        <v>159181.05862314804</v>
      </c>
      <c r="G20" s="369">
        <f>[8]У_Копи!$X$112+[8]У_Копи!$X$117</f>
        <v>182936.39051707412</v>
      </c>
      <c r="H20" s="369">
        <v>216363.66239233638</v>
      </c>
      <c r="I20" s="369">
        <f>[7]У_Копи!$Q$117</f>
        <v>226251.56971291854</v>
      </c>
    </row>
    <row r="21" spans="2:9" x14ac:dyDescent="0.25">
      <c r="B21" s="141" t="s">
        <v>7</v>
      </c>
      <c r="C21" s="370" t="s">
        <v>13</v>
      </c>
      <c r="D21" s="371" t="s">
        <v>3</v>
      </c>
      <c r="E21" s="372">
        <v>4056.0023288018124</v>
      </c>
      <c r="F21" s="373">
        <v>12085.571933196254</v>
      </c>
      <c r="G21" s="374">
        <f>[8]Алькат!$X$112+[8]Алькат!$X$117</f>
        <v>12957.043124249438</v>
      </c>
      <c r="H21" s="374">
        <v>13503.135508128893</v>
      </c>
      <c r="I21" s="374">
        <f>[7]Алькат!$X$117</f>
        <v>26178.549983298843</v>
      </c>
    </row>
    <row r="22" spans="2:9" x14ac:dyDescent="0.25">
      <c r="B22" s="141" t="s">
        <v>8</v>
      </c>
      <c r="C22" s="370" t="s">
        <v>14</v>
      </c>
      <c r="D22" s="371" t="s">
        <v>3</v>
      </c>
      <c r="E22" s="367">
        <v>16857.005984867083</v>
      </c>
      <c r="F22" s="368">
        <v>69854.635358104235</v>
      </c>
      <c r="G22" s="369">
        <f>[8]Беринг!$X$112+[8]Беринг!$X$117</f>
        <v>69834.210925991443</v>
      </c>
      <c r="H22" s="369">
        <v>62139.815522862023</v>
      </c>
      <c r="I22" s="369">
        <f>[7]Беринг!$Q$117</f>
        <v>75385.645951680272</v>
      </c>
    </row>
    <row r="23" spans="2:9" x14ac:dyDescent="0.25">
      <c r="B23" s="141" t="s">
        <v>9</v>
      </c>
      <c r="C23" s="370" t="s">
        <v>15</v>
      </c>
      <c r="D23" s="371" t="s">
        <v>3</v>
      </c>
      <c r="E23" s="367">
        <v>10786.314680603004</v>
      </c>
      <c r="F23" s="368">
        <v>24052.338201006012</v>
      </c>
      <c r="G23" s="369">
        <f>[8]Мейнып!$X$112+[8]Мейнып!$X$117</f>
        <v>22754.515167458321</v>
      </c>
      <c r="H23" s="369">
        <v>26380.660001619381</v>
      </c>
      <c r="I23" s="369">
        <f>[7]Мейнып!$Q$117</f>
        <v>47830.085180224145</v>
      </c>
    </row>
    <row r="24" spans="2:9" s="142" customFormat="1" x14ac:dyDescent="0.25">
      <c r="B24" s="141" t="s">
        <v>10</v>
      </c>
      <c r="C24" s="370" t="s">
        <v>16</v>
      </c>
      <c r="D24" s="371" t="s">
        <v>3</v>
      </c>
      <c r="E24" s="367">
        <v>7515.4594792914568</v>
      </c>
      <c r="F24" s="368">
        <v>25528.157531187888</v>
      </c>
      <c r="G24" s="369">
        <f>[8]Хатыр!$X$112+[8]Хатыр!$X$117</f>
        <v>31126.821999272306</v>
      </c>
      <c r="H24" s="369">
        <v>31126.821999272306</v>
      </c>
      <c r="I24" s="369">
        <f>[7]Хатыр!$Q$117</f>
        <v>37072.964640645332</v>
      </c>
    </row>
    <row r="25" spans="2:9" x14ac:dyDescent="0.25">
      <c r="B25" s="141" t="s">
        <v>41</v>
      </c>
      <c r="C25" s="370" t="s">
        <v>17</v>
      </c>
      <c r="D25" s="371" t="s">
        <v>3</v>
      </c>
      <c r="E25" s="367">
        <v>2203.9873483506385</v>
      </c>
      <c r="F25" s="368">
        <v>15938.977933153754</v>
      </c>
      <c r="G25" s="369">
        <f>[8]Ваеги!$X$112+[8]Ваеги!$X$117</f>
        <v>18089.832382535493</v>
      </c>
      <c r="H25" s="369">
        <v>12618.188229387948</v>
      </c>
      <c r="I25" s="369">
        <f>[7]Ваеги!$Q$117</f>
        <v>15649.831393029814</v>
      </c>
    </row>
    <row r="26" spans="2:9" x14ac:dyDescent="0.25">
      <c r="B26" s="141" t="s">
        <v>43</v>
      </c>
      <c r="C26" s="370" t="s">
        <v>18</v>
      </c>
      <c r="D26" s="371" t="s">
        <v>3</v>
      </c>
      <c r="E26" s="367">
        <v>1969.3449397223924</v>
      </c>
      <c r="F26" s="368">
        <v>8026.7695656216492</v>
      </c>
      <c r="G26" s="369">
        <f>[8]Снежн!$X$112+[8]Снежн!$X$117</f>
        <v>9922.3723068876825</v>
      </c>
      <c r="H26" s="369">
        <v>5662.8994389009758</v>
      </c>
      <c r="I26" s="369">
        <f>[7]Снежн!$Q$117</f>
        <v>5012.9413449947415</v>
      </c>
    </row>
    <row r="27" spans="2:9" x14ac:dyDescent="0.25">
      <c r="B27" s="141" t="s">
        <v>44</v>
      </c>
      <c r="C27" s="370" t="s">
        <v>19</v>
      </c>
      <c r="D27" s="371" t="s">
        <v>3</v>
      </c>
      <c r="E27" s="367">
        <v>5296.0634225477152</v>
      </c>
      <c r="F27" s="368">
        <v>23593.698166734328</v>
      </c>
      <c r="G27" s="369">
        <f>[8]Марк!$X$112+[8]Марк!$X$117</f>
        <v>21080.845468661377</v>
      </c>
      <c r="H27" s="369">
        <v>24183.684715165087</v>
      </c>
      <c r="I27" s="369">
        <f>[7]Марк!$Q$117</f>
        <v>28074.499171272735</v>
      </c>
    </row>
    <row r="28" spans="2:9" x14ac:dyDescent="0.25">
      <c r="B28" s="141" t="s">
        <v>45</v>
      </c>
      <c r="C28" s="370" t="s">
        <v>20</v>
      </c>
      <c r="D28" s="371" t="s">
        <v>3</v>
      </c>
      <c r="E28" s="367">
        <v>10987.357169231509</v>
      </c>
      <c r="F28" s="368">
        <v>21016.532502105896</v>
      </c>
      <c r="G28" s="369">
        <f>[8]У_Бел!$X$112+[8]У_Бел!$X$117</f>
        <v>22456.026598117889</v>
      </c>
      <c r="H28" s="369">
        <v>18752.759769263772</v>
      </c>
      <c r="I28" s="369">
        <f>[7]У_Бел!$Q$117</f>
        <v>18792.735683426832</v>
      </c>
    </row>
    <row r="29" spans="2:9" x14ac:dyDescent="0.25">
      <c r="B29" s="141" t="s">
        <v>46</v>
      </c>
      <c r="C29" s="370" t="s">
        <v>21</v>
      </c>
      <c r="D29" s="371" t="s">
        <v>3</v>
      </c>
      <c r="E29" s="367">
        <v>8483.3849376690087</v>
      </c>
      <c r="F29" s="368">
        <v>23318.285278169591</v>
      </c>
      <c r="G29" s="369">
        <f>[8]Н_Чапл!$X$112+[8]Н_Чапл!$X$117</f>
        <v>20961.960896010416</v>
      </c>
      <c r="H29" s="369">
        <v>14794.88493431341</v>
      </c>
      <c r="I29" s="369">
        <f>[7]Н_Чапл!$Q$117</f>
        <v>18400.753501224703</v>
      </c>
    </row>
    <row r="30" spans="2:9" x14ac:dyDescent="0.25">
      <c r="B30" s="141" t="s">
        <v>47</v>
      </c>
      <c r="C30" s="370" t="s">
        <v>22</v>
      </c>
      <c r="D30" s="371" t="s">
        <v>3</v>
      </c>
      <c r="E30" s="367">
        <v>23568.448320177296</v>
      </c>
      <c r="F30" s="368">
        <v>61926.485279070439</v>
      </c>
      <c r="G30" s="369">
        <f>[8]Провид!$X$112+[8]Провид!$X$117</f>
        <v>65116.546789630498</v>
      </c>
      <c r="H30" s="369">
        <v>63641.074204085453</v>
      </c>
      <c r="I30" s="369">
        <f>[7]Провид!$Q$117</f>
        <v>85206.24413037434</v>
      </c>
    </row>
    <row r="31" spans="2:9" x14ac:dyDescent="0.25">
      <c r="B31" s="143" t="s">
        <v>48</v>
      </c>
      <c r="C31" s="375" t="s">
        <v>23</v>
      </c>
      <c r="D31" s="376" t="s">
        <v>3</v>
      </c>
      <c r="E31" s="377">
        <v>2123.2763033039218</v>
      </c>
      <c r="F31" s="378">
        <v>15601.488640796402</v>
      </c>
      <c r="G31" s="379">
        <f>[8]Сирен!$X$112+[8]Сирен!$X$117</f>
        <v>13767.817397675997</v>
      </c>
      <c r="H31" s="379">
        <v>7444.9671998157983</v>
      </c>
      <c r="I31" s="379">
        <f>[7]Сирен!$Q$117</f>
        <v>14590.934812305828</v>
      </c>
    </row>
    <row r="33" spans="5:9" hidden="1" x14ac:dyDescent="0.25">
      <c r="E33" s="287">
        <f>SUM(E19:E31)</f>
        <v>198494.20847137069</v>
      </c>
      <c r="F33" s="287">
        <f>SUM(F19:F31)</f>
        <v>478143.9048910932</v>
      </c>
      <c r="G33" s="287">
        <f>SUM(G19:G31)</f>
        <v>510210.49960551877</v>
      </c>
      <c r="H33" s="287">
        <f>SUM(H19:H31)</f>
        <v>509753.74301810388</v>
      </c>
      <c r="I33" s="287">
        <f>SUM(I19:I31)</f>
        <v>620478.49567806034</v>
      </c>
    </row>
    <row r="34" spans="5:9" hidden="1" x14ac:dyDescent="0.25">
      <c r="F34" s="288">
        <f>F33/E33*100</f>
        <v>240.88556969663784</v>
      </c>
      <c r="G34" s="288">
        <f>G33/F33*100</f>
        <v>106.70647359223983</v>
      </c>
      <c r="H34" s="288">
        <f>H33/G33*100</f>
        <v>99.910476834998889</v>
      </c>
      <c r="I34" s="288">
        <f>I33/H33*100</f>
        <v>121.72122405700982</v>
      </c>
    </row>
  </sheetData>
  <mergeCells count="25">
    <mergeCell ref="C4:E4"/>
    <mergeCell ref="G4:I4"/>
    <mergeCell ref="B1:I1"/>
    <mergeCell ref="C2:E2"/>
    <mergeCell ref="G2:I2"/>
    <mergeCell ref="C3:E3"/>
    <mergeCell ref="G3:I3"/>
    <mergeCell ref="C5:E5"/>
    <mergeCell ref="G5:I5"/>
    <mergeCell ref="B6:I6"/>
    <mergeCell ref="B8:I8"/>
    <mergeCell ref="C9:E9"/>
    <mergeCell ref="G9:I9"/>
    <mergeCell ref="C10:E10"/>
    <mergeCell ref="G10:I10"/>
    <mergeCell ref="C11:E11"/>
    <mergeCell ref="G11:I11"/>
    <mergeCell ref="C12:E12"/>
    <mergeCell ref="G12:I12"/>
    <mergeCell ref="B13:I13"/>
    <mergeCell ref="B15:I15"/>
    <mergeCell ref="C16:C17"/>
    <mergeCell ref="D16:D17"/>
    <mergeCell ref="E16:I16"/>
    <mergeCell ref="B16:B17"/>
  </mergeCells>
  <printOptions horizontalCentered="1"/>
  <pageMargins left="1.1811023622047245" right="0.39370078740157483" top="0.39370078740157483" bottom="0.39370078740157483" header="0" footer="0"/>
  <pageSetup paperSize="9" scale="7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R24"/>
  <sheetViews>
    <sheetView view="pageBreakPreview" zoomScale="60" zoomScaleNormal="100" workbookViewId="0">
      <pane xSplit="3" ySplit="5" topLeftCell="D12" activePane="bottomRight" state="frozen"/>
      <selection activeCell="A17" sqref="A17"/>
      <selection pane="topRight" activeCell="A17" sqref="A17"/>
      <selection pane="bottomLeft" activeCell="A17" sqref="A17"/>
      <selection pane="bottomRight" activeCell="Z16" sqref="Z16"/>
    </sheetView>
  </sheetViews>
  <sheetFormatPr defaultColWidth="9.140625" defaultRowHeight="12.75" x14ac:dyDescent="0.2"/>
  <cols>
    <col min="1" max="1" width="5.140625" style="8" customWidth="1"/>
    <col min="2" max="2" width="55.42578125" style="8" customWidth="1"/>
    <col min="3" max="3" width="15.28515625" style="8" customWidth="1"/>
    <col min="4" max="16" width="10.28515625" style="8" customWidth="1"/>
    <col min="17" max="17" width="7.28515625" style="8" customWidth="1"/>
    <col min="18" max="16384" width="9.140625" style="8"/>
  </cols>
  <sheetData>
    <row r="1" spans="1:16" s="1" customFormat="1" ht="21" customHeight="1" x14ac:dyDescent="0.25">
      <c r="A1" s="419" t="s">
        <v>207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</row>
    <row r="2" spans="1:16" ht="16.5" customHeight="1" x14ac:dyDescent="0.2">
      <c r="A2" s="497" t="s">
        <v>29</v>
      </c>
      <c r="B2" s="497" t="s">
        <v>2</v>
      </c>
      <c r="C2" s="497" t="s">
        <v>30</v>
      </c>
      <c r="D2" s="502" t="s">
        <v>70</v>
      </c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4"/>
    </row>
    <row r="3" spans="1:16" ht="21" customHeight="1" x14ac:dyDescent="0.2">
      <c r="A3" s="498"/>
      <c r="B3" s="498"/>
      <c r="C3" s="498"/>
      <c r="D3" s="505" t="s">
        <v>11</v>
      </c>
      <c r="E3" s="505" t="s">
        <v>12</v>
      </c>
      <c r="F3" s="505" t="s">
        <v>13</v>
      </c>
      <c r="G3" s="505" t="s">
        <v>14</v>
      </c>
      <c r="H3" s="505" t="s">
        <v>15</v>
      </c>
      <c r="I3" s="505" t="s">
        <v>16</v>
      </c>
      <c r="J3" s="505" t="s">
        <v>17</v>
      </c>
      <c r="K3" s="505" t="s">
        <v>18</v>
      </c>
      <c r="L3" s="505" t="s">
        <v>19</v>
      </c>
      <c r="M3" s="505" t="s">
        <v>20</v>
      </c>
      <c r="N3" s="505" t="s">
        <v>21</v>
      </c>
      <c r="O3" s="505" t="s">
        <v>22</v>
      </c>
      <c r="P3" s="500" t="s">
        <v>23</v>
      </c>
    </row>
    <row r="4" spans="1:16" ht="28.5" customHeight="1" x14ac:dyDescent="0.2">
      <c r="A4" s="498"/>
      <c r="B4" s="498"/>
      <c r="C4" s="498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1"/>
    </row>
    <row r="5" spans="1:16" ht="15.75" customHeight="1" x14ac:dyDescent="0.2">
      <c r="A5" s="499"/>
      <c r="B5" s="499"/>
      <c r="C5" s="499"/>
      <c r="D5" s="510" t="s">
        <v>140</v>
      </c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2"/>
    </row>
    <row r="6" spans="1:16" x14ac:dyDescent="0.2">
      <c r="A6" s="126">
        <v>1</v>
      </c>
      <c r="B6" s="9">
        <f>A6+1</f>
        <v>2</v>
      </c>
      <c r="C6" s="9">
        <f t="shared" ref="C6:D6" si="0">B6+1</f>
        <v>3</v>
      </c>
      <c r="D6" s="9">
        <f t="shared" si="0"/>
        <v>4</v>
      </c>
      <c r="E6" s="9">
        <f t="shared" ref="E6" si="1">D6+1</f>
        <v>5</v>
      </c>
      <c r="F6" s="9">
        <f t="shared" ref="F6" si="2">E6+1</f>
        <v>6</v>
      </c>
      <c r="G6" s="9">
        <f t="shared" ref="G6" si="3">F6+1</f>
        <v>7</v>
      </c>
      <c r="H6" s="9">
        <f t="shared" ref="H6" si="4">G6+1</f>
        <v>8</v>
      </c>
      <c r="I6" s="9">
        <f t="shared" ref="I6" si="5">H6+1</f>
        <v>9</v>
      </c>
      <c r="J6" s="9">
        <f t="shared" ref="J6" si="6">I6+1</f>
        <v>10</v>
      </c>
      <c r="K6" s="9">
        <f t="shared" ref="K6" si="7">J6+1</f>
        <v>11</v>
      </c>
      <c r="L6" s="9">
        <f t="shared" ref="L6" si="8">K6+1</f>
        <v>12</v>
      </c>
      <c r="M6" s="9">
        <f t="shared" ref="M6" si="9">L6+1</f>
        <v>13</v>
      </c>
      <c r="N6" s="9">
        <f t="shared" ref="N6" si="10">M6+1</f>
        <v>14</v>
      </c>
      <c r="O6" s="9">
        <f t="shared" ref="O6" si="11">N6+1</f>
        <v>15</v>
      </c>
      <c r="P6" s="9">
        <f t="shared" ref="P6" si="12">O6+1</f>
        <v>16</v>
      </c>
    </row>
    <row r="7" spans="1:16" ht="15.75" x14ac:dyDescent="0.2">
      <c r="A7" s="10" t="s">
        <v>67</v>
      </c>
      <c r="B7" s="507" t="s">
        <v>32</v>
      </c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9"/>
    </row>
    <row r="8" spans="1:16" ht="112.5" customHeight="1" x14ac:dyDescent="0.2">
      <c r="A8" s="14">
        <v>1</v>
      </c>
      <c r="B8" s="152" t="s">
        <v>49</v>
      </c>
      <c r="C8" s="22" t="s">
        <v>4</v>
      </c>
      <c r="D8" s="158">
        <f>D9/D10*100</f>
        <v>0</v>
      </c>
      <c r="E8" s="144">
        <f t="shared" ref="E8:P8" si="13">E9/E10*100</f>
        <v>0</v>
      </c>
      <c r="F8" s="162">
        <f t="shared" si="13"/>
        <v>0</v>
      </c>
      <c r="G8" s="144">
        <f t="shared" si="13"/>
        <v>0</v>
      </c>
      <c r="H8" s="162">
        <f t="shared" si="13"/>
        <v>0</v>
      </c>
      <c r="I8" s="144">
        <f t="shared" si="13"/>
        <v>0</v>
      </c>
      <c r="J8" s="162">
        <f t="shared" si="13"/>
        <v>0</v>
      </c>
      <c r="K8" s="144">
        <f t="shared" si="13"/>
        <v>0</v>
      </c>
      <c r="L8" s="162">
        <f t="shared" si="13"/>
        <v>0</v>
      </c>
      <c r="M8" s="144">
        <f t="shared" si="13"/>
        <v>0</v>
      </c>
      <c r="N8" s="162">
        <f t="shared" si="13"/>
        <v>0</v>
      </c>
      <c r="O8" s="144">
        <f t="shared" si="13"/>
        <v>0</v>
      </c>
      <c r="P8" s="163">
        <f t="shared" si="13"/>
        <v>0</v>
      </c>
    </row>
    <row r="9" spans="1:16" s="296" customFormat="1" ht="51" customHeight="1" x14ac:dyDescent="0.25">
      <c r="A9" s="289" t="s">
        <v>33</v>
      </c>
      <c r="B9" s="290" t="s">
        <v>50</v>
      </c>
      <c r="C9" s="291" t="s">
        <v>51</v>
      </c>
      <c r="D9" s="292">
        <v>0</v>
      </c>
      <c r="E9" s="293">
        <v>0</v>
      </c>
      <c r="F9" s="294">
        <v>0</v>
      </c>
      <c r="G9" s="293">
        <v>0</v>
      </c>
      <c r="H9" s="294">
        <v>0</v>
      </c>
      <c r="I9" s="293">
        <v>0</v>
      </c>
      <c r="J9" s="294">
        <v>0</v>
      </c>
      <c r="K9" s="293">
        <v>0</v>
      </c>
      <c r="L9" s="294">
        <v>0</v>
      </c>
      <c r="M9" s="293">
        <v>0</v>
      </c>
      <c r="N9" s="294">
        <v>0</v>
      </c>
      <c r="O9" s="293">
        <v>0</v>
      </c>
      <c r="P9" s="295">
        <v>0</v>
      </c>
    </row>
    <row r="10" spans="1:16" s="296" customFormat="1" ht="20.25" customHeight="1" x14ac:dyDescent="0.25">
      <c r="A10" s="289" t="s">
        <v>34</v>
      </c>
      <c r="B10" s="297" t="s">
        <v>52</v>
      </c>
      <c r="C10" s="291" t="s">
        <v>51</v>
      </c>
      <c r="D10" s="298">
        <v>24</v>
      </c>
      <c r="E10" s="293">
        <v>32</v>
      </c>
      <c r="F10" s="294">
        <v>16</v>
      </c>
      <c r="G10" s="293">
        <v>24</v>
      </c>
      <c r="H10" s="294">
        <v>16</v>
      </c>
      <c r="I10" s="293">
        <v>16</v>
      </c>
      <c r="J10" s="294">
        <v>16</v>
      </c>
      <c r="K10" s="293">
        <v>16</v>
      </c>
      <c r="L10" s="294">
        <v>16</v>
      </c>
      <c r="M10" s="293">
        <v>16</v>
      </c>
      <c r="N10" s="294">
        <v>32</v>
      </c>
      <c r="O10" s="293">
        <v>40</v>
      </c>
      <c r="P10" s="295">
        <v>16</v>
      </c>
    </row>
    <row r="11" spans="1:16" s="296" customFormat="1" ht="81" customHeight="1" x14ac:dyDescent="0.25">
      <c r="A11" s="289" t="s">
        <v>53</v>
      </c>
      <c r="B11" s="297" t="s">
        <v>40</v>
      </c>
      <c r="C11" s="291" t="s">
        <v>4</v>
      </c>
      <c r="D11" s="292">
        <f>D12/D13*100</f>
        <v>0</v>
      </c>
      <c r="E11" s="293">
        <f t="shared" ref="E11:O11" si="14">E12/E13*100</f>
        <v>0</v>
      </c>
      <c r="F11" s="294">
        <f t="shared" si="14"/>
        <v>0</v>
      </c>
      <c r="G11" s="293">
        <f t="shared" si="14"/>
        <v>0</v>
      </c>
      <c r="H11" s="294">
        <f t="shared" si="14"/>
        <v>0</v>
      </c>
      <c r="I11" s="293">
        <f t="shared" si="14"/>
        <v>0</v>
      </c>
      <c r="J11" s="294">
        <f t="shared" si="14"/>
        <v>0</v>
      </c>
      <c r="K11" s="293">
        <f t="shared" si="14"/>
        <v>0</v>
      </c>
      <c r="L11" s="294">
        <f t="shared" si="14"/>
        <v>0</v>
      </c>
      <c r="M11" s="293">
        <f t="shared" si="14"/>
        <v>0</v>
      </c>
      <c r="N11" s="294">
        <f t="shared" si="14"/>
        <v>0</v>
      </c>
      <c r="O11" s="293">
        <f t="shared" si="14"/>
        <v>0</v>
      </c>
      <c r="P11" s="293">
        <f t="shared" ref="P11" si="15">P12/P13*100</f>
        <v>0</v>
      </c>
    </row>
    <row r="12" spans="1:16" s="296" customFormat="1" ht="65.25" customHeight="1" x14ac:dyDescent="0.25">
      <c r="A12" s="289" t="s">
        <v>36</v>
      </c>
      <c r="B12" s="299" t="s">
        <v>54</v>
      </c>
      <c r="C12" s="291" t="s">
        <v>51</v>
      </c>
      <c r="D12" s="292">
        <v>0</v>
      </c>
      <c r="E12" s="293">
        <v>0</v>
      </c>
      <c r="F12" s="294">
        <v>0</v>
      </c>
      <c r="G12" s="293">
        <v>0</v>
      </c>
      <c r="H12" s="294">
        <v>0</v>
      </c>
      <c r="I12" s="293">
        <v>0</v>
      </c>
      <c r="J12" s="294">
        <v>0</v>
      </c>
      <c r="K12" s="293">
        <v>0</v>
      </c>
      <c r="L12" s="294">
        <v>0</v>
      </c>
      <c r="M12" s="293">
        <v>0</v>
      </c>
      <c r="N12" s="294">
        <v>0</v>
      </c>
      <c r="O12" s="293">
        <v>0</v>
      </c>
      <c r="P12" s="293">
        <v>0</v>
      </c>
    </row>
    <row r="13" spans="1:16" s="296" customFormat="1" ht="18" customHeight="1" x14ac:dyDescent="0.25">
      <c r="A13" s="300" t="s">
        <v>55</v>
      </c>
      <c r="B13" s="301" t="s">
        <v>52</v>
      </c>
      <c r="C13" s="302" t="s">
        <v>51</v>
      </c>
      <c r="D13" s="303">
        <v>24</v>
      </c>
      <c r="E13" s="304">
        <v>28</v>
      </c>
      <c r="F13" s="305">
        <v>16</v>
      </c>
      <c r="G13" s="304">
        <v>16</v>
      </c>
      <c r="H13" s="305">
        <v>16</v>
      </c>
      <c r="I13" s="304">
        <v>16</v>
      </c>
      <c r="J13" s="305">
        <v>24</v>
      </c>
      <c r="K13" s="304">
        <v>12</v>
      </c>
      <c r="L13" s="305">
        <v>12</v>
      </c>
      <c r="M13" s="304">
        <v>24</v>
      </c>
      <c r="N13" s="305">
        <v>60</v>
      </c>
      <c r="O13" s="304">
        <v>60</v>
      </c>
      <c r="P13" s="306">
        <v>16</v>
      </c>
    </row>
    <row r="14" spans="1:16" s="296" customFormat="1" ht="17.25" customHeight="1" x14ac:dyDescent="0.25">
      <c r="A14" s="307" t="s">
        <v>68</v>
      </c>
      <c r="B14" s="494" t="s">
        <v>35</v>
      </c>
      <c r="C14" s="495"/>
      <c r="D14" s="495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6"/>
    </row>
    <row r="15" spans="1:16" s="296" customFormat="1" ht="31.5" customHeight="1" x14ac:dyDescent="0.25">
      <c r="A15" s="308">
        <v>1</v>
      </c>
      <c r="B15" s="309" t="s">
        <v>56</v>
      </c>
      <c r="C15" s="310" t="s">
        <v>37</v>
      </c>
      <c r="D15" s="311">
        <f>D16/D17</f>
        <v>0</v>
      </c>
      <c r="E15" s="312">
        <f>E16/E17</f>
        <v>0</v>
      </c>
      <c r="F15" s="313">
        <f t="shared" ref="F15:P15" si="16">F16/F17</f>
        <v>0</v>
      </c>
      <c r="G15" s="312">
        <f t="shared" si="16"/>
        <v>0</v>
      </c>
      <c r="H15" s="313">
        <f t="shared" si="16"/>
        <v>0</v>
      </c>
      <c r="I15" s="312">
        <f t="shared" si="16"/>
        <v>0</v>
      </c>
      <c r="J15" s="313">
        <f t="shared" si="16"/>
        <v>0</v>
      </c>
      <c r="K15" s="312">
        <f t="shared" si="16"/>
        <v>0</v>
      </c>
      <c r="L15" s="313">
        <f t="shared" si="16"/>
        <v>0</v>
      </c>
      <c r="M15" s="312">
        <f t="shared" si="16"/>
        <v>0</v>
      </c>
      <c r="N15" s="313">
        <f t="shared" si="16"/>
        <v>0</v>
      </c>
      <c r="O15" s="312">
        <f t="shared" si="16"/>
        <v>0</v>
      </c>
      <c r="P15" s="314">
        <f t="shared" si="16"/>
        <v>0</v>
      </c>
    </row>
    <row r="16" spans="1:16" s="296" customFormat="1" ht="219.75" customHeight="1" x14ac:dyDescent="0.25">
      <c r="A16" s="289" t="s">
        <v>33</v>
      </c>
      <c r="B16" s="297" t="s">
        <v>57</v>
      </c>
      <c r="C16" s="291" t="s">
        <v>51</v>
      </c>
      <c r="D16" s="292">
        <v>0</v>
      </c>
      <c r="E16" s="293">
        <v>0</v>
      </c>
      <c r="F16" s="294">
        <v>0</v>
      </c>
      <c r="G16" s="293">
        <v>0</v>
      </c>
      <c r="H16" s="294">
        <v>0</v>
      </c>
      <c r="I16" s="293">
        <v>0</v>
      </c>
      <c r="J16" s="294">
        <v>0</v>
      </c>
      <c r="K16" s="293">
        <v>0</v>
      </c>
      <c r="L16" s="294">
        <v>0</v>
      </c>
      <c r="M16" s="293">
        <v>0</v>
      </c>
      <c r="N16" s="294">
        <v>0</v>
      </c>
      <c r="O16" s="293">
        <v>0</v>
      </c>
      <c r="P16" s="295">
        <v>0</v>
      </c>
    </row>
    <row r="17" spans="1:18" s="296" customFormat="1" ht="20.25" customHeight="1" x14ac:dyDescent="0.25">
      <c r="A17" s="300" t="s">
        <v>34</v>
      </c>
      <c r="B17" s="315" t="s">
        <v>58</v>
      </c>
      <c r="C17" s="316" t="s">
        <v>59</v>
      </c>
      <c r="D17" s="317">
        <v>5.4377000000000004</v>
      </c>
      <c r="E17" s="318">
        <f>(46.887-12.872)*0+34.264</f>
        <v>34.264000000000003</v>
      </c>
      <c r="F17" s="319">
        <v>1.7110000000000001</v>
      </c>
      <c r="G17" s="320">
        <v>5.45</v>
      </c>
      <c r="H17" s="319">
        <v>8.5090000000000003</v>
      </c>
      <c r="I17" s="320">
        <v>2.8695000000000004</v>
      </c>
      <c r="J17" s="319">
        <v>3.0844999999999998</v>
      </c>
      <c r="K17" s="320">
        <v>2.8849999999999998</v>
      </c>
      <c r="L17" s="319">
        <v>8.2804000000000002</v>
      </c>
      <c r="M17" s="320">
        <v>3.5790000000000002</v>
      </c>
      <c r="N17" s="319">
        <v>4.2149999999999999</v>
      </c>
      <c r="O17" s="320">
        <v>16.206199999999999</v>
      </c>
      <c r="P17" s="321">
        <v>5.2149999999999999</v>
      </c>
      <c r="R17" s="322"/>
    </row>
    <row r="18" spans="1:18" s="296" customFormat="1" ht="15.75" customHeight="1" x14ac:dyDescent="0.25">
      <c r="A18" s="307" t="s">
        <v>69</v>
      </c>
      <c r="B18" s="494" t="s">
        <v>38</v>
      </c>
      <c r="C18" s="495"/>
      <c r="D18" s="495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6"/>
    </row>
    <row r="19" spans="1:18" s="296" customFormat="1" ht="51.75" customHeight="1" x14ac:dyDescent="0.25">
      <c r="A19" s="323">
        <v>1</v>
      </c>
      <c r="B19" s="324" t="s">
        <v>60</v>
      </c>
      <c r="C19" s="310" t="s">
        <v>4</v>
      </c>
      <c r="D19" s="325">
        <f>D21/D20*100</f>
        <v>7.6509986319012739</v>
      </c>
      <c r="E19" s="326">
        <f>E21/E20*100</f>
        <v>3.3470000332028174</v>
      </c>
      <c r="F19" s="327">
        <f t="shared" ref="F19:P19" si="17">F21/F20*100</f>
        <v>3.7549969170249122</v>
      </c>
      <c r="G19" s="326">
        <f t="shared" si="17"/>
        <v>3.1699998396067928</v>
      </c>
      <c r="H19" s="327">
        <f t="shared" si="17"/>
        <v>6.1860011341060108</v>
      </c>
      <c r="I19" s="326">
        <f t="shared" si="17"/>
        <v>2.474998891537469</v>
      </c>
      <c r="J19" s="327">
        <f t="shared" si="17"/>
        <v>11.200000000000001</v>
      </c>
      <c r="K19" s="326">
        <f t="shared" si="17"/>
        <v>17.607999999999997</v>
      </c>
      <c r="L19" s="327">
        <f t="shared" si="17"/>
        <v>9.7320000000000011</v>
      </c>
      <c r="M19" s="326">
        <f t="shared" si="17"/>
        <v>9.226000092904739</v>
      </c>
      <c r="N19" s="327">
        <f t="shared" si="17"/>
        <v>25.093999540384253</v>
      </c>
      <c r="O19" s="326">
        <f t="shared" si="17"/>
        <v>5.1679999388334847</v>
      </c>
      <c r="P19" s="328">
        <f t="shared" si="17"/>
        <v>24.298407157813472</v>
      </c>
    </row>
    <row r="20" spans="1:18" s="296" customFormat="1" ht="30.75" customHeight="1" x14ac:dyDescent="0.25">
      <c r="A20" s="329" t="s">
        <v>33</v>
      </c>
      <c r="B20" s="330" t="s">
        <v>61</v>
      </c>
      <c r="C20" s="310" t="s">
        <v>71</v>
      </c>
      <c r="D20" s="331">
        <v>30.934170999999999</v>
      </c>
      <c r="E20" s="332">
        <v>260.21888000000001</v>
      </c>
      <c r="F20" s="333">
        <v>18.579455999999997</v>
      </c>
      <c r="G20" s="332">
        <v>130.30476999999999</v>
      </c>
      <c r="H20" s="333">
        <v>22.973161000000001</v>
      </c>
      <c r="I20" s="332">
        <v>15.156128000000001</v>
      </c>
      <c r="J20" s="333">
        <v>14.519779279279277</v>
      </c>
      <c r="K20" s="332">
        <v>5.2639362649030463</v>
      </c>
      <c r="L20" s="333">
        <v>46.168515035228431</v>
      </c>
      <c r="M20" s="332">
        <v>33.066127999999999</v>
      </c>
      <c r="N20" s="333">
        <v>42.357122000000004</v>
      </c>
      <c r="O20" s="332">
        <v>157.733361</v>
      </c>
      <c r="P20" s="334">
        <v>20.849271999999999</v>
      </c>
    </row>
    <row r="21" spans="1:18" s="296" customFormat="1" ht="35.25" customHeight="1" x14ac:dyDescent="0.25">
      <c r="A21" s="329" t="s">
        <v>34</v>
      </c>
      <c r="B21" s="290" t="s">
        <v>62</v>
      </c>
      <c r="C21" s="291" t="s">
        <v>71</v>
      </c>
      <c r="D21" s="331">
        <v>2.3667730000000002</v>
      </c>
      <c r="E21" s="332">
        <v>8.7095260000000003</v>
      </c>
      <c r="F21" s="333">
        <v>0.697658</v>
      </c>
      <c r="G21" s="332">
        <v>4.1306609999999999</v>
      </c>
      <c r="H21" s="333">
        <v>1.4211199999999999</v>
      </c>
      <c r="I21" s="332">
        <v>0.375114</v>
      </c>
      <c r="J21" s="333">
        <v>1.626215279279279</v>
      </c>
      <c r="K21" s="332">
        <v>0.9268738975241283</v>
      </c>
      <c r="L21" s="333">
        <v>4.4931198832284309</v>
      </c>
      <c r="M21" s="332">
        <v>3.050681</v>
      </c>
      <c r="N21" s="333">
        <v>10.629095999999999</v>
      </c>
      <c r="O21" s="332">
        <v>8.1516599999999997</v>
      </c>
      <c r="P21" s="334">
        <v>5.0660410000000002</v>
      </c>
    </row>
    <row r="22" spans="1:18" s="296" customFormat="1" ht="63.75" customHeight="1" x14ac:dyDescent="0.25">
      <c r="A22" s="335">
        <v>2</v>
      </c>
      <c r="B22" s="336" t="s">
        <v>63</v>
      </c>
      <c r="C22" s="316" t="s">
        <v>64</v>
      </c>
      <c r="D22" s="337">
        <f>D23/D24</f>
        <v>1.5679159464140804</v>
      </c>
      <c r="E22" s="338">
        <f>E23/E24</f>
        <v>3.2649694194185392</v>
      </c>
      <c r="F22" s="319">
        <f t="shared" ref="F22:O22" si="18">F23/F24</f>
        <v>1.9125726824294536</v>
      </c>
      <c r="G22" s="338">
        <f t="shared" si="18"/>
        <v>3.9748353034198218</v>
      </c>
      <c r="H22" s="319" t="s">
        <v>137</v>
      </c>
      <c r="I22" s="338" t="s">
        <v>137</v>
      </c>
      <c r="J22" s="319" t="s">
        <v>137</v>
      </c>
      <c r="K22" s="338" t="s">
        <v>137</v>
      </c>
      <c r="L22" s="319" t="s">
        <v>137</v>
      </c>
      <c r="M22" s="338">
        <f t="shared" si="18"/>
        <v>3.8467812136939656</v>
      </c>
      <c r="N22" s="319" t="s">
        <v>137</v>
      </c>
      <c r="O22" s="338">
        <f t="shared" si="18"/>
        <v>0.7227524936845795</v>
      </c>
      <c r="P22" s="321" t="s">
        <v>137</v>
      </c>
    </row>
    <row r="23" spans="1:18" s="296" customFormat="1" ht="49.5" customHeight="1" x14ac:dyDescent="0.25">
      <c r="A23" s="329" t="s">
        <v>36</v>
      </c>
      <c r="B23" s="290" t="s">
        <v>65</v>
      </c>
      <c r="C23" s="291" t="s">
        <v>72</v>
      </c>
      <c r="D23" s="331">
        <v>48.502179999999996</v>
      </c>
      <c r="E23" s="332">
        <v>849.60668555534255</v>
      </c>
      <c r="F23" s="333">
        <v>35.534559999999999</v>
      </c>
      <c r="G23" s="332">
        <v>517.94000000000005</v>
      </c>
      <c r="H23" s="333" t="s">
        <v>137</v>
      </c>
      <c r="I23" s="332" t="s">
        <v>137</v>
      </c>
      <c r="J23" s="333" t="s">
        <v>137</v>
      </c>
      <c r="K23" s="332" t="s">
        <v>137</v>
      </c>
      <c r="L23" s="333" t="s">
        <v>137</v>
      </c>
      <c r="M23" s="332">
        <v>127.19816000000002</v>
      </c>
      <c r="N23" s="333" t="s">
        <v>137</v>
      </c>
      <c r="O23" s="332">
        <v>114.00218</v>
      </c>
      <c r="P23" s="334" t="s">
        <v>137</v>
      </c>
    </row>
    <row r="24" spans="1:18" s="296" customFormat="1" ht="17.25" customHeight="1" x14ac:dyDescent="0.25">
      <c r="A24" s="339" t="s">
        <v>55</v>
      </c>
      <c r="B24" s="340" t="s">
        <v>66</v>
      </c>
      <c r="C24" s="341" t="s">
        <v>71</v>
      </c>
      <c r="D24" s="342">
        <v>30.934170999999999</v>
      </c>
      <c r="E24" s="343">
        <v>260.21888000000001</v>
      </c>
      <c r="F24" s="344">
        <v>18.579455999999997</v>
      </c>
      <c r="G24" s="343">
        <v>130.30476999999999</v>
      </c>
      <c r="H24" s="344" t="s">
        <v>137</v>
      </c>
      <c r="I24" s="343" t="s">
        <v>137</v>
      </c>
      <c r="J24" s="344" t="s">
        <v>137</v>
      </c>
      <c r="K24" s="343" t="s">
        <v>137</v>
      </c>
      <c r="L24" s="344" t="s">
        <v>137</v>
      </c>
      <c r="M24" s="343">
        <v>33.066127999999999</v>
      </c>
      <c r="N24" s="344" t="s">
        <v>137</v>
      </c>
      <c r="O24" s="343">
        <v>157.733361</v>
      </c>
      <c r="P24" s="345" t="s">
        <v>137</v>
      </c>
    </row>
  </sheetData>
  <mergeCells count="22">
    <mergeCell ref="A1:P1"/>
    <mergeCell ref="D3:D4"/>
    <mergeCell ref="I3:I4"/>
    <mergeCell ref="J3:J4"/>
    <mergeCell ref="K3:K4"/>
    <mergeCell ref="N3:N4"/>
    <mergeCell ref="O3:O4"/>
    <mergeCell ref="A2:A5"/>
    <mergeCell ref="E3:E4"/>
    <mergeCell ref="F3:F4"/>
    <mergeCell ref="B18:P18"/>
    <mergeCell ref="C2:C5"/>
    <mergeCell ref="B2:B5"/>
    <mergeCell ref="P3:P4"/>
    <mergeCell ref="D2:P2"/>
    <mergeCell ref="L3:L4"/>
    <mergeCell ref="M3:M4"/>
    <mergeCell ref="G3:G4"/>
    <mergeCell ref="H3:H4"/>
    <mergeCell ref="B7:P7"/>
    <mergeCell ref="B14:P14"/>
    <mergeCell ref="D5:P5"/>
  </mergeCells>
  <phoneticPr fontId="2" type="noConversion"/>
  <printOptions horizontalCentered="1"/>
  <pageMargins left="0.39370078740157483" right="0.39370078740157483" top="0.98425196850393704" bottom="0.39370078740157483" header="0.31496062992125984" footer="0.31496062992125984"/>
  <pageSetup paperSize="9" scale="4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11</vt:i4>
      </vt:variant>
    </vt:vector>
  </HeadingPairs>
  <TitlesOfParts>
    <vt:vector size="24" baseType="lpstr">
      <vt:lpstr>раздел 1</vt:lpstr>
      <vt:lpstr>раздел 2 2019</vt:lpstr>
      <vt:lpstr>раздел 2 2020</vt:lpstr>
      <vt:lpstr>раздел 2 2021</vt:lpstr>
      <vt:lpstr>раздел 2 2022</vt:lpstr>
      <vt:lpstr>раздел 2 2023</vt:lpstr>
      <vt:lpstr>раздел 3</vt:lpstr>
      <vt:lpstr>раздел 3,4</vt:lpstr>
      <vt:lpstr>раздел 5 2019</vt:lpstr>
      <vt:lpstr>раздел 5 2020</vt:lpstr>
      <vt:lpstr>раздел 5 2021</vt:lpstr>
      <vt:lpstr>раздел 5 2022</vt:lpstr>
      <vt:lpstr>раздел 5 2023</vt:lpstr>
      <vt:lpstr>'раздел 2 2019'!Заголовки_для_печати</vt:lpstr>
      <vt:lpstr>'раздел 2 2020'!Заголовки_для_печати</vt:lpstr>
      <vt:lpstr>'раздел 2 2021'!Заголовки_для_печати</vt:lpstr>
      <vt:lpstr>'раздел 2 2022'!Заголовки_для_печати</vt:lpstr>
      <vt:lpstr>'раздел 2 2023'!Заголовки_для_печати</vt:lpstr>
      <vt:lpstr>'раздел 3,4'!Заголовки_для_печати</vt:lpstr>
      <vt:lpstr>'раздел 2 2019'!Область_печати</vt:lpstr>
      <vt:lpstr>'раздел 2 2022'!Область_печати</vt:lpstr>
      <vt:lpstr>'раздел 2 2023'!Область_печати</vt:lpstr>
      <vt:lpstr>'раздел 3'!Область_печати</vt:lpstr>
      <vt:lpstr>'раздел 3,4'!Область_печати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Безпалько Михаил Петрович</cp:lastModifiedBy>
  <cp:lastPrinted>2021-03-18T06:43:27Z</cp:lastPrinted>
  <dcterms:created xsi:type="dcterms:W3CDTF">1996-10-08T23:32:33Z</dcterms:created>
  <dcterms:modified xsi:type="dcterms:W3CDTF">2022-11-28T05:51:34Z</dcterms:modified>
</cp:coreProperties>
</file>