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5930" yWindow="-75" windowWidth="12840" windowHeight="12330" tabRatio="904" activeTab="2"/>
  </bookViews>
  <sheets>
    <sheet name="раздел 1" sheetId="33" r:id="rId1"/>
    <sheet name="раздел 2" sheetId="43" r:id="rId2"/>
    <sheet name="раздел 3" sheetId="45" r:id="rId3"/>
    <sheet name="раздел 4" sheetId="56" r:id="rId4"/>
    <sheet name="раздел 5" sheetId="3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1">'раздел 2'!$A:$C</definedName>
    <definedName name="_xlnm.Print_Titles" localSheetId="2">'раздел 3'!$4:$6</definedName>
    <definedName name="_xlnm.Print_Titles" localSheetId="4">'раздел 5'!$A:$C</definedName>
    <definedName name="_xlnm.Print_Area" localSheetId="1">'раздел 2'!$A$1:$DP$48</definedName>
    <definedName name="_xlnm.Print_Area" localSheetId="2">'раздел 3'!$A$1:$J$113</definedName>
    <definedName name="_xlnm.Print_Area" localSheetId="3">'раздел 4'!$A$1:$O$11</definedName>
    <definedName name="_xlnm.Print_Area" localSheetId="4">'раздел 5'!$A$1:$CE$27</definedName>
  </definedNames>
  <calcPr calcId="145621"/>
</workbook>
</file>

<file path=xl/calcChain.xml><?xml version="1.0" encoding="utf-8"?>
<calcChain xmlns="http://schemas.openxmlformats.org/spreadsheetml/2006/main">
  <c r="I92" i="45" l="1"/>
  <c r="I91" i="45"/>
  <c r="I90" i="45"/>
  <c r="I89" i="45"/>
  <c r="I88" i="45"/>
  <c r="E92" i="45"/>
  <c r="I87" i="45"/>
  <c r="I75" i="45"/>
  <c r="E77" i="45"/>
  <c r="E68" i="45"/>
  <c r="I65" i="45"/>
  <c r="I64" i="45"/>
  <c r="I68" i="45" s="1"/>
  <c r="I66" i="45"/>
  <c r="I51" i="45"/>
  <c r="I48" i="45"/>
  <c r="I45" i="45"/>
  <c r="I33" i="45" l="1"/>
  <c r="I34" i="45"/>
  <c r="E35" i="45"/>
  <c r="E20" i="45"/>
  <c r="I81" i="45" l="1"/>
  <c r="I24" i="45"/>
  <c r="BY17" i="36" l="1"/>
  <c r="CD27" i="36"/>
  <c r="CC26" i="36"/>
  <c r="CD26" i="36" s="1"/>
  <c r="CD21" i="36"/>
  <c r="CD20" i="36"/>
  <c r="CC19" i="36"/>
  <c r="CD19" i="36" s="1"/>
  <c r="CB17" i="36"/>
  <c r="CD17" i="36" s="1"/>
  <c r="CD16" i="36"/>
  <c r="CB13" i="36"/>
  <c r="CD13" i="36" s="1"/>
  <c r="CB12" i="36"/>
  <c r="CD12" i="36" s="1"/>
  <c r="CB11" i="36"/>
  <c r="CD11" i="36" s="1"/>
  <c r="CD10" i="36"/>
  <c r="CD9" i="36"/>
  <c r="CB8" i="36"/>
  <c r="CD8" i="36" s="1"/>
  <c r="BM17" i="36"/>
  <c r="BR27" i="36"/>
  <c r="BQ26" i="36"/>
  <c r="BR26" i="36" s="1"/>
  <c r="BQ25" i="36"/>
  <c r="BR25" i="36" s="1"/>
  <c r="BR21" i="36"/>
  <c r="BQ21" i="36"/>
  <c r="BR20" i="36"/>
  <c r="BQ19" i="36"/>
  <c r="BR19" i="36" s="1"/>
  <c r="BR17" i="36"/>
  <c r="BP17" i="36"/>
  <c r="BR16" i="36"/>
  <c r="BP15" i="36"/>
  <c r="BR15" i="36" s="1"/>
  <c r="BP13" i="36"/>
  <c r="BR13" i="36" s="1"/>
  <c r="BP12" i="36"/>
  <c r="BR12" i="36" s="1"/>
  <c r="BP11" i="36"/>
  <c r="BR11" i="36" s="1"/>
  <c r="BR10" i="36"/>
  <c r="BR9" i="36"/>
  <c r="BP8" i="36"/>
  <c r="BR8" i="36" s="1"/>
  <c r="BC27" i="36"/>
  <c r="BD27" i="36" s="1"/>
  <c r="BC26" i="36"/>
  <c r="BD26" i="36" s="1"/>
  <c r="BD25" i="36"/>
  <c r="BC25" i="36"/>
  <c r="BD21" i="36"/>
  <c r="BD20" i="36"/>
  <c r="BC19" i="36"/>
  <c r="BD19" i="36" s="1"/>
  <c r="BB17" i="36"/>
  <c r="BD17" i="36" s="1"/>
  <c r="BD16" i="36"/>
  <c r="BD13" i="36"/>
  <c r="BD12" i="36"/>
  <c r="BD11" i="36"/>
  <c r="BD10" i="36"/>
  <c r="BD9" i="36"/>
  <c r="BD8" i="36"/>
  <c r="AO27" i="36"/>
  <c r="AP27" i="36" s="1"/>
  <c r="AO26" i="36"/>
  <c r="AP26" i="36" s="1"/>
  <c r="AO25" i="36"/>
  <c r="AP25" i="36" s="1"/>
  <c r="AP21" i="36"/>
  <c r="AP20" i="36"/>
  <c r="AO19" i="36"/>
  <c r="AP19" i="36" s="1"/>
  <c r="AN17" i="36"/>
  <c r="AP17" i="36" s="1"/>
  <c r="AP16" i="36"/>
  <c r="AN15" i="36"/>
  <c r="AP15" i="36" s="1"/>
  <c r="AP13" i="36"/>
  <c r="AP12" i="36"/>
  <c r="AP11" i="36"/>
  <c r="AP10" i="36"/>
  <c r="AP9" i="36"/>
  <c r="AP8" i="36"/>
  <c r="W17" i="36"/>
  <c r="CC25" i="36" l="1"/>
  <c r="CD25" i="36" s="1"/>
  <c r="CB15" i="36"/>
  <c r="CD15" i="36" s="1"/>
  <c r="BB15" i="36"/>
  <c r="BD15" i="36" s="1"/>
  <c r="AB27" i="36"/>
  <c r="AA26" i="36"/>
  <c r="AB26" i="36" s="1"/>
  <c r="AA25" i="36"/>
  <c r="AB25" i="36" s="1"/>
  <c r="AA24" i="36"/>
  <c r="AB24" i="36" s="1"/>
  <c r="AA23" i="36"/>
  <c r="AB23" i="36" s="1"/>
  <c r="AB21" i="36"/>
  <c r="AB20" i="36"/>
  <c r="AA19" i="36"/>
  <c r="AB19" i="36" s="1"/>
  <c r="Z17" i="36"/>
  <c r="AB17" i="36" s="1"/>
  <c r="AB16" i="36"/>
  <c r="Z15" i="36"/>
  <c r="AB15" i="36" s="1"/>
  <c r="AB13" i="36"/>
  <c r="AB12" i="36"/>
  <c r="AB11" i="36"/>
  <c r="AB10" i="36"/>
  <c r="AB9" i="36"/>
  <c r="AB8" i="36"/>
  <c r="N26" i="36"/>
  <c r="M24" i="36"/>
  <c r="M27" i="36" s="1"/>
  <c r="M23" i="36"/>
  <c r="M22" i="36" s="1"/>
  <c r="N22" i="36" s="1"/>
  <c r="N21" i="36"/>
  <c r="N20" i="36"/>
  <c r="M19" i="36"/>
  <c r="N19" i="36" s="1"/>
  <c r="L17" i="36"/>
  <c r="N17" i="36" s="1"/>
  <c r="N16" i="36"/>
  <c r="L15" i="36"/>
  <c r="N15" i="36" s="1"/>
  <c r="L13" i="36"/>
  <c r="N13" i="36" s="1"/>
  <c r="N12" i="36"/>
  <c r="N11" i="36"/>
  <c r="N10" i="36"/>
  <c r="N9" i="36"/>
  <c r="L8" i="36"/>
  <c r="N8" i="36" s="1"/>
  <c r="N11" i="56"/>
  <c r="N10" i="56"/>
  <c r="N9" i="56"/>
  <c r="N8" i="56"/>
  <c r="N7" i="56"/>
  <c r="N6" i="56"/>
  <c r="H96" i="45"/>
  <c r="E96" i="45"/>
  <c r="I94" i="45"/>
  <c r="I93" i="45"/>
  <c r="H82" i="45"/>
  <c r="E82" i="45"/>
  <c r="I80" i="45"/>
  <c r="I79" i="45"/>
  <c r="I78" i="45"/>
  <c r="H71" i="45"/>
  <c r="E71" i="45"/>
  <c r="I70" i="45"/>
  <c r="I69" i="45"/>
  <c r="I54" i="45"/>
  <c r="I53" i="45"/>
  <c r="I52" i="45"/>
  <c r="H55" i="45"/>
  <c r="E55" i="45"/>
  <c r="I36" i="45"/>
  <c r="I38" i="45"/>
  <c r="I37" i="45"/>
  <c r="H39" i="45"/>
  <c r="E39" i="45"/>
  <c r="H35" i="45"/>
  <c r="H25" i="45"/>
  <c r="E25" i="45"/>
  <c r="I21" i="45"/>
  <c r="I25" i="45" s="1"/>
  <c r="I96" i="45" l="1"/>
  <c r="I82" i="45"/>
  <c r="AA22" i="36"/>
  <c r="AB22" i="36" s="1"/>
  <c r="N27" i="36"/>
  <c r="M25" i="36"/>
  <c r="N25" i="36" s="1"/>
  <c r="N23" i="36"/>
  <c r="N24" i="36"/>
  <c r="I71" i="45"/>
  <c r="I55" i="45"/>
  <c r="I39" i="45"/>
  <c r="I35" i="45"/>
  <c r="DK36" i="43" l="1"/>
  <c r="DJ35" i="43"/>
  <c r="DK35" i="43" s="1"/>
  <c r="DK34" i="43" s="1"/>
  <c r="DJ34" i="43"/>
  <c r="DI34" i="43"/>
  <c r="DH34" i="43"/>
  <c r="DK33" i="43"/>
  <c r="DK32" i="43"/>
  <c r="DK31" i="43"/>
  <c r="DJ31" i="43"/>
  <c r="DJ23" i="43" s="1"/>
  <c r="DI31" i="43"/>
  <c r="DI23" i="43" s="1"/>
  <c r="DH31" i="43"/>
  <c r="DH23" i="43" s="1"/>
  <c r="DK30" i="43"/>
  <c r="DK29" i="43"/>
  <c r="DK28" i="43"/>
  <c r="DK24" i="43" s="1"/>
  <c r="DK23" i="43" s="1"/>
  <c r="DJ28" i="43"/>
  <c r="DI28" i="43"/>
  <c r="DH28" i="43"/>
  <c r="DJ24" i="43"/>
  <c r="DI24" i="43"/>
  <c r="DH24" i="43"/>
  <c r="DK21" i="43"/>
  <c r="DK18" i="43" s="1"/>
  <c r="DJ21" i="43"/>
  <c r="DI21" i="43"/>
  <c r="DK20" i="43"/>
  <c r="DK19" i="43"/>
  <c r="DH18" i="43"/>
  <c r="DK16" i="43"/>
  <c r="DK15" i="43"/>
  <c r="DK14" i="43"/>
  <c r="DJ14" i="43"/>
  <c r="DI14" i="43"/>
  <c r="DH14" i="43"/>
  <c r="DK12" i="43"/>
  <c r="DK11" i="43"/>
  <c r="DH11" i="43"/>
  <c r="DK10" i="43"/>
  <c r="DK8" i="43" s="1"/>
  <c r="DK13" i="43" s="1"/>
  <c r="DK17" i="43" s="1"/>
  <c r="DK22" i="43" s="1"/>
  <c r="DJ8" i="43"/>
  <c r="DJ13" i="43" s="1"/>
  <c r="DJ17" i="43" s="1"/>
  <c r="DJ22" i="43" s="1"/>
  <c r="DI8" i="43"/>
  <c r="DI13" i="43" s="1"/>
  <c r="DI17" i="43" s="1"/>
  <c r="DI22" i="43" s="1"/>
  <c r="DH8" i="43"/>
  <c r="DH13" i="43" s="1"/>
  <c r="DH17" i="43" s="1"/>
  <c r="DH22" i="43" s="1"/>
  <c r="CQ36" i="43"/>
  <c r="CP35" i="43"/>
  <c r="CO35" i="43"/>
  <c r="CQ35" i="43" s="1"/>
  <c r="CQ34" i="43" s="1"/>
  <c r="CP34" i="43"/>
  <c r="CO34" i="43"/>
  <c r="CN34" i="43"/>
  <c r="CQ33" i="43"/>
  <c r="CQ32" i="43"/>
  <c r="CQ31" i="43"/>
  <c r="CP31" i="43"/>
  <c r="CP23" i="43" s="1"/>
  <c r="CO31" i="43"/>
  <c r="CO23" i="43" s="1"/>
  <c r="CN31" i="43"/>
  <c r="CN23" i="43" s="1"/>
  <c r="CQ30" i="43"/>
  <c r="CQ29" i="43"/>
  <c r="CP28" i="43"/>
  <c r="CO28" i="43"/>
  <c r="CQ28" i="43" s="1"/>
  <c r="CQ24" i="43" s="1"/>
  <c r="CQ23" i="43" s="1"/>
  <c r="CN28" i="43"/>
  <c r="CP24" i="43"/>
  <c r="CO24" i="43"/>
  <c r="CN24" i="43"/>
  <c r="CP21" i="43"/>
  <c r="CO21" i="43"/>
  <c r="CQ21" i="43" s="1"/>
  <c r="CQ18" i="43" s="1"/>
  <c r="CQ20" i="43"/>
  <c r="CQ19" i="43"/>
  <c r="CN18" i="43"/>
  <c r="CQ16" i="43"/>
  <c r="CQ15" i="43"/>
  <c r="CQ14" i="43"/>
  <c r="CP14" i="43"/>
  <c r="CO14" i="43"/>
  <c r="CN14" i="43"/>
  <c r="CQ12" i="43"/>
  <c r="CQ10" i="43"/>
  <c r="CQ8" i="43"/>
  <c r="CQ13" i="43" s="1"/>
  <c r="CQ17" i="43" s="1"/>
  <c r="CP8" i="43"/>
  <c r="CP13" i="43" s="1"/>
  <c r="CP17" i="43" s="1"/>
  <c r="CP22" i="43" s="1"/>
  <c r="CO8" i="43"/>
  <c r="CO13" i="43" s="1"/>
  <c r="CO17" i="43" s="1"/>
  <c r="CO22" i="43" s="1"/>
  <c r="CN8" i="43"/>
  <c r="CN13" i="43" s="1"/>
  <c r="CN17" i="43" s="1"/>
  <c r="CN22" i="43" s="1"/>
  <c r="BW36" i="43"/>
  <c r="BV35" i="43"/>
  <c r="BU35" i="43"/>
  <c r="BW35" i="43" s="1"/>
  <c r="BW34" i="43" s="1"/>
  <c r="BV34" i="43"/>
  <c r="BU34" i="43"/>
  <c r="BT34" i="43"/>
  <c r="BW33" i="43"/>
  <c r="BW32" i="43"/>
  <c r="BW31" i="43" s="1"/>
  <c r="BV31" i="43"/>
  <c r="BV23" i="43" s="1"/>
  <c r="BU31" i="43"/>
  <c r="BU23" i="43" s="1"/>
  <c r="BT31" i="43"/>
  <c r="BT23" i="43" s="1"/>
  <c r="BW30" i="43"/>
  <c r="BW29" i="43"/>
  <c r="BV28" i="43"/>
  <c r="BU28" i="43"/>
  <c r="BW28" i="43" s="1"/>
  <c r="BW24" i="43" s="1"/>
  <c r="BW23" i="43" s="1"/>
  <c r="BT28" i="43"/>
  <c r="BV24" i="43"/>
  <c r="BU24" i="43"/>
  <c r="BT24" i="43"/>
  <c r="BW20" i="43"/>
  <c r="BW19" i="43"/>
  <c r="BV18" i="43"/>
  <c r="BV21" i="43" s="1"/>
  <c r="BU18" i="43"/>
  <c r="BU21" i="43" s="1"/>
  <c r="BW21" i="43" s="1"/>
  <c r="BW18" i="43" s="1"/>
  <c r="BT18" i="43"/>
  <c r="BW16" i="43"/>
  <c r="BW15" i="43"/>
  <c r="BW14" i="43"/>
  <c r="BV14" i="43"/>
  <c r="BU14" i="43"/>
  <c r="BT14" i="43"/>
  <c r="BW12" i="43"/>
  <c r="BW10" i="43"/>
  <c r="BW8" i="43"/>
  <c r="BW13" i="43" s="1"/>
  <c r="BW17" i="43" s="1"/>
  <c r="BV8" i="43"/>
  <c r="BV13" i="43" s="1"/>
  <c r="BV17" i="43" s="1"/>
  <c r="BV22" i="43" s="1"/>
  <c r="BU8" i="43"/>
  <c r="BU13" i="43" s="1"/>
  <c r="BU17" i="43" s="1"/>
  <c r="BU22" i="43" s="1"/>
  <c r="BT8" i="43"/>
  <c r="BT13" i="43" s="1"/>
  <c r="BT17" i="43" s="1"/>
  <c r="BT22" i="43" s="1"/>
  <c r="BC36" i="43"/>
  <c r="BC35" i="43"/>
  <c r="BC34" i="43"/>
  <c r="BB34" i="43"/>
  <c r="BA34" i="43"/>
  <c r="AZ34" i="43"/>
  <c r="BC33" i="43"/>
  <c r="BC32" i="43"/>
  <c r="BC31" i="43" s="1"/>
  <c r="BB31" i="43"/>
  <c r="BA31" i="43"/>
  <c r="BA23" i="43" s="1"/>
  <c r="AZ31" i="43"/>
  <c r="AZ23" i="43" s="1"/>
  <c r="BC30" i="43"/>
  <c r="BC29" i="43"/>
  <c r="BB28" i="43"/>
  <c r="BB24" i="43" s="1"/>
  <c r="BB23" i="43" s="1"/>
  <c r="BA28" i="43"/>
  <c r="AZ28" i="43"/>
  <c r="BA24" i="43"/>
  <c r="AZ24" i="43"/>
  <c r="BB21" i="43"/>
  <c r="BC21" i="43" s="1"/>
  <c r="BA21" i="43"/>
  <c r="BC20" i="43"/>
  <c r="BC19" i="43"/>
  <c r="BC18" i="43"/>
  <c r="BC16" i="43"/>
  <c r="BC15" i="43"/>
  <c r="BC14" i="43" s="1"/>
  <c r="BB14" i="43"/>
  <c r="BA14" i="43"/>
  <c r="AZ14" i="43"/>
  <c r="BC13" i="43"/>
  <c r="BC17" i="43" s="1"/>
  <c r="BC22" i="43" s="1"/>
  <c r="BB13" i="43"/>
  <c r="BB17" i="43" s="1"/>
  <c r="BB22" i="43" s="1"/>
  <c r="BC12" i="43"/>
  <c r="BC10" i="43"/>
  <c r="BC9" i="43"/>
  <c r="BC8" i="43"/>
  <c r="BB8" i="43"/>
  <c r="BA8" i="43"/>
  <c r="BA13" i="43" s="1"/>
  <c r="BA17" i="43" s="1"/>
  <c r="BA22" i="43" s="1"/>
  <c r="AZ8" i="43"/>
  <c r="AZ13" i="43" s="1"/>
  <c r="AZ17" i="43" s="1"/>
  <c r="AZ22" i="43" s="1"/>
  <c r="AI36" i="43"/>
  <c r="AI35" i="43"/>
  <c r="AI34" i="43"/>
  <c r="AH34" i="43"/>
  <c r="AG34" i="43"/>
  <c r="AI33" i="43"/>
  <c r="AI32" i="43"/>
  <c r="AI31" i="43"/>
  <c r="AH31" i="43"/>
  <c r="AG31" i="43"/>
  <c r="AI30" i="43"/>
  <c r="AI29" i="43"/>
  <c r="AH28" i="43"/>
  <c r="AH24" i="43" s="1"/>
  <c r="AH23" i="43" s="1"/>
  <c r="AG28" i="43"/>
  <c r="AG24" i="43" s="1"/>
  <c r="AG23" i="43" s="1"/>
  <c r="AF24" i="43"/>
  <c r="AF23" i="43"/>
  <c r="AH21" i="43"/>
  <c r="AG21" i="43"/>
  <c r="AI21" i="43" s="1"/>
  <c r="AI20" i="43"/>
  <c r="AI19" i="43"/>
  <c r="AI18" i="43"/>
  <c r="AF18" i="43"/>
  <c r="AI16" i="43"/>
  <c r="AI15" i="43"/>
  <c r="AI14" i="43"/>
  <c r="AH14" i="43"/>
  <c r="AG14" i="43"/>
  <c r="AF14" i="43"/>
  <c r="AI13" i="43"/>
  <c r="AI17" i="43" s="1"/>
  <c r="AI22" i="43" s="1"/>
  <c r="AH13" i="43"/>
  <c r="AH17" i="43" s="1"/>
  <c r="AH22" i="43" s="1"/>
  <c r="AG13" i="43"/>
  <c r="AG17" i="43" s="1"/>
  <c r="AG22" i="43" s="1"/>
  <c r="AF13" i="43"/>
  <c r="AF17" i="43" s="1"/>
  <c r="AF22" i="43" s="1"/>
  <c r="AI12" i="43"/>
  <c r="AI9" i="43"/>
  <c r="AI8" i="43"/>
  <c r="AH8" i="43"/>
  <c r="AG8" i="43"/>
  <c r="AF8" i="43"/>
  <c r="CQ22" i="43" l="1"/>
  <c r="BW22" i="43"/>
  <c r="BC28" i="43"/>
  <c r="BC24" i="43" s="1"/>
  <c r="BC23" i="43" s="1"/>
  <c r="AI28" i="43"/>
  <c r="AI24" i="43" s="1"/>
  <c r="AI23" i="43" s="1"/>
  <c r="O36" i="43" l="1"/>
  <c r="N35" i="43"/>
  <c r="M35" i="43"/>
  <c r="O35" i="43" s="1"/>
  <c r="O34" i="43" s="1"/>
  <c r="N34" i="43"/>
  <c r="M34" i="43"/>
  <c r="O33" i="43"/>
  <c r="N32" i="43"/>
  <c r="M32" i="43"/>
  <c r="O32" i="43" s="1"/>
  <c r="O31" i="43" s="1"/>
  <c r="O23" i="43" s="1"/>
  <c r="N31" i="43"/>
  <c r="N23" i="43" s="1"/>
  <c r="M31" i="43"/>
  <c r="M23" i="43" s="1"/>
  <c r="O27" i="43"/>
  <c r="O26" i="43"/>
  <c r="O25" i="43"/>
  <c r="O24" i="43"/>
  <c r="N24" i="43"/>
  <c r="M24" i="43"/>
  <c r="M21" i="43"/>
  <c r="N20" i="43"/>
  <c r="O20" i="43" s="1"/>
  <c r="O19" i="43"/>
  <c r="N18" i="43"/>
  <c r="M18" i="43"/>
  <c r="O16" i="43"/>
  <c r="O15" i="43"/>
  <c r="O14" i="43"/>
  <c r="L14" i="43"/>
  <c r="N13" i="43"/>
  <c r="N17" i="43" s="1"/>
  <c r="N22" i="43" s="1"/>
  <c r="M13" i="43"/>
  <c r="M17" i="43" s="1"/>
  <c r="M22" i="43" s="1"/>
  <c r="L13" i="43"/>
  <c r="L17" i="43" s="1"/>
  <c r="O12" i="43"/>
  <c r="O13" i="43" s="1"/>
  <c r="O17" i="43" s="1"/>
  <c r="O11" i="43"/>
  <c r="N21" i="43" l="1"/>
  <c r="O21" i="43" s="1"/>
  <c r="O18" i="43" s="1"/>
  <c r="O22" i="43" s="1"/>
  <c r="H92" i="45"/>
  <c r="DE21" i="43" l="1"/>
  <c r="DG21" i="43" s="1"/>
  <c r="DG18" i="43" s="1"/>
  <c r="DF20" i="43"/>
  <c r="DF21" i="43"/>
  <c r="DG20" i="43"/>
  <c r="DG19" i="43"/>
  <c r="DF18" i="43"/>
  <c r="DE18" i="43"/>
  <c r="CK21" i="43"/>
  <c r="CK18" i="43" s="1"/>
  <c r="CL20" i="43"/>
  <c r="CM20" i="43"/>
  <c r="CM19" i="43"/>
  <c r="BQ21" i="43"/>
  <c r="BR19" i="43"/>
  <c r="BR20" i="43"/>
  <c r="BR21" i="43"/>
  <c r="BS21" i="43"/>
  <c r="BS20" i="43"/>
  <c r="BS19" i="43"/>
  <c r="BS18" i="43" s="1"/>
  <c r="BR18" i="43"/>
  <c r="BQ18" i="43"/>
  <c r="AW21" i="43"/>
  <c r="AW18" i="43" s="1"/>
  <c r="AX20" i="43"/>
  <c r="AX21" i="43"/>
  <c r="AY21" i="43"/>
  <c r="AY19" i="43"/>
  <c r="AC21" i="43"/>
  <c r="AD20" i="43"/>
  <c r="AD21" i="43"/>
  <c r="AE21" i="43"/>
  <c r="AE20" i="43"/>
  <c r="AE19" i="43"/>
  <c r="AD18" i="43"/>
  <c r="AC18" i="43"/>
  <c r="D18" i="43"/>
  <c r="E18" i="43"/>
  <c r="F18" i="43"/>
  <c r="G19" i="43"/>
  <c r="G20" i="43"/>
  <c r="G21" i="43"/>
  <c r="G18" i="43"/>
  <c r="H19" i="43"/>
  <c r="H20" i="43"/>
  <c r="P20" i="43" s="1"/>
  <c r="H21" i="43"/>
  <c r="P21" i="43" s="1"/>
  <c r="H18" i="43"/>
  <c r="I20" i="43"/>
  <c r="J20" i="43"/>
  <c r="J21" i="43"/>
  <c r="J18" i="43"/>
  <c r="K19" i="43"/>
  <c r="S19" i="43"/>
  <c r="S18" i="43" s="1"/>
  <c r="S20" i="43"/>
  <c r="S21" i="43"/>
  <c r="U18" i="43"/>
  <c r="V18" i="43"/>
  <c r="W18" i="43"/>
  <c r="X18" i="43"/>
  <c r="Y18" i="43"/>
  <c r="Z18" i="43"/>
  <c r="AA19" i="43"/>
  <c r="AA20" i="43"/>
  <c r="AA21" i="43"/>
  <c r="AB20" i="43"/>
  <c r="AB21" i="43"/>
  <c r="AB18" i="43" s="1"/>
  <c r="AJ20" i="43"/>
  <c r="AJ18" i="43" s="1"/>
  <c r="AJ21" i="43"/>
  <c r="AM19" i="43"/>
  <c r="AM20" i="43"/>
  <c r="AM21" i="43"/>
  <c r="AN20" i="43"/>
  <c r="AN21" i="43"/>
  <c r="AN18" i="43"/>
  <c r="AO18" i="43"/>
  <c r="AP18" i="43"/>
  <c r="AQ18" i="43"/>
  <c r="AR18" i="43"/>
  <c r="AS18" i="43"/>
  <c r="AT18" i="43"/>
  <c r="AU19" i="43"/>
  <c r="AU20" i="43"/>
  <c r="AU21" i="43"/>
  <c r="AU18" i="43"/>
  <c r="AV19" i="43"/>
  <c r="AV20" i="43"/>
  <c r="AV21" i="43"/>
  <c r="BD20" i="43"/>
  <c r="BD21" i="43"/>
  <c r="BE18" i="43"/>
  <c r="BF18" i="43"/>
  <c r="BG19" i="43"/>
  <c r="BG20" i="43"/>
  <c r="BG21" i="43"/>
  <c r="BG18" i="43"/>
  <c r="BH20" i="43"/>
  <c r="BH21" i="43"/>
  <c r="BI18" i="43"/>
  <c r="BJ18" i="43"/>
  <c r="BK18" i="43"/>
  <c r="BL18" i="43"/>
  <c r="BM18" i="43"/>
  <c r="BN18" i="43"/>
  <c r="BO19" i="43"/>
  <c r="BO20" i="43"/>
  <c r="BO21" i="43"/>
  <c r="BO18" i="43"/>
  <c r="BP19" i="43"/>
  <c r="BP20" i="43"/>
  <c r="BP21" i="43"/>
  <c r="BP18" i="43"/>
  <c r="BX19" i="43"/>
  <c r="BX20" i="43"/>
  <c r="BX21" i="43"/>
  <c r="BY18" i="43"/>
  <c r="BZ18" i="43"/>
  <c r="CA19" i="43"/>
  <c r="CA18" i="43" s="1"/>
  <c r="CA20" i="43"/>
  <c r="CA21" i="43"/>
  <c r="CB19" i="43"/>
  <c r="CB20" i="43"/>
  <c r="CB21" i="43"/>
  <c r="CC18" i="43"/>
  <c r="CD18" i="43"/>
  <c r="CE18" i="43"/>
  <c r="CF18" i="43"/>
  <c r="CG18" i="43"/>
  <c r="CH18" i="43"/>
  <c r="CI19" i="43"/>
  <c r="CI20" i="43"/>
  <c r="CI21" i="43"/>
  <c r="CI18" i="43"/>
  <c r="CJ18" i="43"/>
  <c r="CJ20" i="43" s="1"/>
  <c r="CJ19" i="43"/>
  <c r="CV19" i="43" s="1"/>
  <c r="CS18" i="43"/>
  <c r="CT18" i="43"/>
  <c r="CU19" i="43"/>
  <c r="CU20" i="43"/>
  <c r="CU21" i="43"/>
  <c r="CU18" i="43"/>
  <c r="CW18" i="43"/>
  <c r="CX18" i="43"/>
  <c r="CY18" i="43"/>
  <c r="CZ18" i="43"/>
  <c r="DA18" i="43"/>
  <c r="DB18" i="43"/>
  <c r="DC20" i="43"/>
  <c r="DC18" i="43" s="1"/>
  <c r="DC21" i="43"/>
  <c r="DD20" i="43"/>
  <c r="DD21" i="43"/>
  <c r="DD18" i="43"/>
  <c r="DL21" i="43"/>
  <c r="DL19" i="43"/>
  <c r="DL20" i="43"/>
  <c r="DO19" i="43"/>
  <c r="DO20" i="43"/>
  <c r="DO21" i="43"/>
  <c r="DO18" i="43"/>
  <c r="DP19" i="43"/>
  <c r="DP20" i="43"/>
  <c r="DP21" i="43"/>
  <c r="DP18" i="43"/>
  <c r="DQ18" i="43"/>
  <c r="DR18" i="43"/>
  <c r="DS18" i="43"/>
  <c r="BY11" i="36"/>
  <c r="BY8" i="36"/>
  <c r="BM11" i="36"/>
  <c r="BM8" i="36"/>
  <c r="AY11" i="36"/>
  <c r="AY8" i="36"/>
  <c r="AK11" i="36"/>
  <c r="AL11" i="36" s="1"/>
  <c r="AK8" i="36"/>
  <c r="W11" i="36"/>
  <c r="W8" i="36"/>
  <c r="I11" i="36"/>
  <c r="I8" i="36"/>
  <c r="H77" i="45"/>
  <c r="H50" i="45"/>
  <c r="E50" i="45"/>
  <c r="I18" i="45"/>
  <c r="I20" i="45" s="1"/>
  <c r="H68" i="45"/>
  <c r="H86" i="45"/>
  <c r="E86" i="45"/>
  <c r="H74" i="45"/>
  <c r="E74" i="45"/>
  <c r="E23" i="36"/>
  <c r="R26" i="36"/>
  <c r="V26" i="36"/>
  <c r="X26" i="36"/>
  <c r="I49" i="45"/>
  <c r="I76" i="45"/>
  <c r="I77" i="45" s="1"/>
  <c r="H20" i="45"/>
  <c r="AY29" i="43"/>
  <c r="DG10" i="43"/>
  <c r="DG8" i="43"/>
  <c r="DG12" i="43"/>
  <c r="DG15" i="43"/>
  <c r="DG32" i="43"/>
  <c r="DG31" i="43" s="1"/>
  <c r="DG33" i="43"/>
  <c r="DG36" i="43"/>
  <c r="DG35" i="43"/>
  <c r="DG34" i="43"/>
  <c r="DE28" i="43"/>
  <c r="DE24" i="43" s="1"/>
  <c r="DE23" i="43" s="1"/>
  <c r="DF28" i="43"/>
  <c r="DF8" i="43"/>
  <c r="DF13" i="43"/>
  <c r="DF14" i="43"/>
  <c r="DF17" i="43"/>
  <c r="DF22" i="43"/>
  <c r="DF31" i="43"/>
  <c r="DF34" i="43"/>
  <c r="DF24" i="43"/>
  <c r="DE8" i="43"/>
  <c r="DE13" i="43" s="1"/>
  <c r="DE17" i="43" s="1"/>
  <c r="DE22" i="43" s="1"/>
  <c r="DE14" i="43"/>
  <c r="DE31" i="43"/>
  <c r="DE34" i="43"/>
  <c r="CM10" i="43"/>
  <c r="CM8" i="43" s="1"/>
  <c r="CM12" i="43"/>
  <c r="CM13" i="43"/>
  <c r="CM15" i="43"/>
  <c r="CM32" i="43"/>
  <c r="CM31" i="43" s="1"/>
  <c r="CM33" i="43"/>
  <c r="CM35" i="43"/>
  <c r="CM36" i="43"/>
  <c r="CM34" i="43"/>
  <c r="CK28" i="43"/>
  <c r="CL28" i="43"/>
  <c r="CL24" i="43" s="1"/>
  <c r="CL23" i="43" s="1"/>
  <c r="CL8" i="43"/>
  <c r="CL13" i="43" s="1"/>
  <c r="CL17" i="43" s="1"/>
  <c r="CL14" i="43"/>
  <c r="CL31" i="43"/>
  <c r="CL34" i="43"/>
  <c r="CK8" i="43"/>
  <c r="CK13" i="43"/>
  <c r="CK17" i="43" s="1"/>
  <c r="CK22" i="43" s="1"/>
  <c r="CK14" i="43"/>
  <c r="CK31" i="43"/>
  <c r="CK34" i="43"/>
  <c r="CK24" i="43"/>
  <c r="CK23" i="43" s="1"/>
  <c r="BS10" i="43"/>
  <c r="BS8" i="43" s="1"/>
  <c r="BS12" i="43"/>
  <c r="BS15" i="43"/>
  <c r="BS32" i="43"/>
  <c r="BS33" i="43"/>
  <c r="BS31" i="43"/>
  <c r="BS35" i="43"/>
  <c r="BS34" i="43" s="1"/>
  <c r="BS36" i="43"/>
  <c r="BQ28" i="43"/>
  <c r="BR28" i="43"/>
  <c r="BS28" i="43"/>
  <c r="BS24" i="43" s="1"/>
  <c r="BR8" i="43"/>
  <c r="BR13" i="43"/>
  <c r="BR14" i="43"/>
  <c r="BR17" i="43"/>
  <c r="BR22" i="43"/>
  <c r="BR31" i="43"/>
  <c r="BR34" i="43"/>
  <c r="BR24" i="43"/>
  <c r="BR23" i="43"/>
  <c r="BQ8" i="43"/>
  <c r="BQ13" i="43" s="1"/>
  <c r="BQ17" i="43" s="1"/>
  <c r="BQ22" i="43" s="1"/>
  <c r="BQ14" i="43"/>
  <c r="BQ31" i="43"/>
  <c r="BQ34" i="43"/>
  <c r="BQ24" i="43"/>
  <c r="BQ23" i="43" s="1"/>
  <c r="AY10" i="43"/>
  <c r="AY12" i="43"/>
  <c r="AY15" i="43"/>
  <c r="AY14" i="43" s="1"/>
  <c r="AY32" i="43"/>
  <c r="AY31" i="43" s="1"/>
  <c r="AY33" i="43"/>
  <c r="AY35" i="43"/>
  <c r="AY36" i="43"/>
  <c r="AY34" i="43"/>
  <c r="AW28" i="43"/>
  <c r="AW24" i="43" s="1"/>
  <c r="AW23" i="43" s="1"/>
  <c r="AX28" i="43"/>
  <c r="AX24" i="43" s="1"/>
  <c r="AX23" i="43" s="1"/>
  <c r="AY28" i="43"/>
  <c r="AX8" i="43"/>
  <c r="AX13" i="43" s="1"/>
  <c r="AX17" i="43" s="1"/>
  <c r="AX14" i="43"/>
  <c r="AX31" i="43"/>
  <c r="AX34" i="43"/>
  <c r="AW8" i="43"/>
  <c r="AW13" i="43"/>
  <c r="AW14" i="43"/>
  <c r="AW31" i="43"/>
  <c r="AW34" i="43"/>
  <c r="AE9" i="43"/>
  <c r="AE8" i="43" s="1"/>
  <c r="AD8" i="43"/>
  <c r="AD13" i="43"/>
  <c r="AC8" i="43"/>
  <c r="AC13" i="43"/>
  <c r="I25" i="43"/>
  <c r="I24" i="43" s="1"/>
  <c r="K26" i="43"/>
  <c r="J25" i="43"/>
  <c r="J24" i="43"/>
  <c r="J23" i="43" s="1"/>
  <c r="J14" i="43"/>
  <c r="I14" i="43"/>
  <c r="K15" i="43"/>
  <c r="DD29" i="43"/>
  <c r="CJ8" i="43"/>
  <c r="CJ12" i="43"/>
  <c r="CJ13" i="43" s="1"/>
  <c r="CJ15" i="43"/>
  <c r="CJ14" i="43" s="1"/>
  <c r="CJ28" i="43"/>
  <c r="CJ24" i="43" s="1"/>
  <c r="CJ31" i="43"/>
  <c r="CJ33" i="43" s="1"/>
  <c r="CR33" i="43" s="1"/>
  <c r="CR31" i="43" s="1"/>
  <c r="CJ34" i="43"/>
  <c r="CJ10" i="43"/>
  <c r="CV10" i="43" s="1"/>
  <c r="CV8" i="43" s="1"/>
  <c r="BP36" i="43"/>
  <c r="BP35" i="43"/>
  <c r="BP33" i="43"/>
  <c r="BP32" i="43"/>
  <c r="BP30" i="43"/>
  <c r="BP29" i="43"/>
  <c r="H35" i="43"/>
  <c r="H26" i="43"/>
  <c r="AX26" i="36"/>
  <c r="AX25" i="36" s="1"/>
  <c r="AX17" i="36"/>
  <c r="AZ17" i="36"/>
  <c r="AZ16" i="36"/>
  <c r="AX13" i="36"/>
  <c r="AZ13" i="36" s="1"/>
  <c r="AZ12" i="36"/>
  <c r="AZ10" i="36"/>
  <c r="AZ9" i="36"/>
  <c r="BB6" i="36"/>
  <c r="BF6" i="36"/>
  <c r="BG6" i="36" s="1"/>
  <c r="BF8" i="36"/>
  <c r="BG8" i="36"/>
  <c r="BF13" i="36"/>
  <c r="BF11" i="36"/>
  <c r="BG13" i="36"/>
  <c r="BG11" i="36"/>
  <c r="BF17" i="36"/>
  <c r="BF15" i="36"/>
  <c r="BG17" i="36"/>
  <c r="BG15" i="36"/>
  <c r="BF19" i="36"/>
  <c r="BG19" i="36"/>
  <c r="BF26" i="36"/>
  <c r="BF27" i="36"/>
  <c r="BF25" i="36" s="1"/>
  <c r="BG26" i="36"/>
  <c r="BG27" i="36"/>
  <c r="AX27" i="36"/>
  <c r="AJ17" i="36"/>
  <c r="AJ15" i="36" s="1"/>
  <c r="AL15" i="36" s="1"/>
  <c r="AL16" i="36"/>
  <c r="AJ13" i="36"/>
  <c r="AL13" i="36" s="1"/>
  <c r="AL12" i="36"/>
  <c r="AL10" i="36"/>
  <c r="AL9" i="36"/>
  <c r="V27" i="36"/>
  <c r="V22" i="36"/>
  <c r="V17" i="36"/>
  <c r="X17" i="36"/>
  <c r="X16" i="36"/>
  <c r="V13" i="36"/>
  <c r="X13" i="36"/>
  <c r="X12" i="36"/>
  <c r="X10" i="36"/>
  <c r="X9" i="36"/>
  <c r="BL17" i="36"/>
  <c r="BN17" i="36"/>
  <c r="BN16" i="36"/>
  <c r="BL13" i="36"/>
  <c r="BN13" i="36"/>
  <c r="BL12" i="36"/>
  <c r="BN12" i="36"/>
  <c r="BN10" i="36"/>
  <c r="BN9" i="36"/>
  <c r="BX17" i="36"/>
  <c r="BZ17" i="36"/>
  <c r="BZ16" i="36"/>
  <c r="BX13" i="36"/>
  <c r="BZ13" i="36" s="1"/>
  <c r="BX12" i="36"/>
  <c r="BZ10" i="36"/>
  <c r="BZ9" i="36"/>
  <c r="D26" i="36"/>
  <c r="H26" i="36" s="1"/>
  <c r="J26" i="36"/>
  <c r="I17" i="36"/>
  <c r="J17" i="36" s="1"/>
  <c r="H17" i="36"/>
  <c r="J16" i="36"/>
  <c r="H13" i="36"/>
  <c r="J13" i="36"/>
  <c r="J12" i="36"/>
  <c r="J10" i="36"/>
  <c r="J9" i="36"/>
  <c r="AJ27" i="36"/>
  <c r="BX26" i="36"/>
  <c r="BZ26" i="36"/>
  <c r="H22" i="36"/>
  <c r="H27" i="36"/>
  <c r="BI17" i="36"/>
  <c r="BU26" i="36"/>
  <c r="BI26" i="36"/>
  <c r="AU26" i="36"/>
  <c r="AV26" i="36" s="1"/>
  <c r="AG26" i="36"/>
  <c r="S26" i="36"/>
  <c r="BU17" i="36"/>
  <c r="BV17" i="36"/>
  <c r="BV16" i="36"/>
  <c r="BJ17" i="36"/>
  <c r="BJ16" i="36"/>
  <c r="AU17" i="36"/>
  <c r="AV17" i="36"/>
  <c r="AV16" i="36"/>
  <c r="AH17" i="36"/>
  <c r="AH16" i="36"/>
  <c r="S17" i="36"/>
  <c r="T17" i="36" s="1"/>
  <c r="T16" i="36"/>
  <c r="F16" i="36"/>
  <c r="D15" i="36"/>
  <c r="F15" i="36"/>
  <c r="BX27" i="36"/>
  <c r="BX25" i="36" s="1"/>
  <c r="BU20" i="36"/>
  <c r="BV20" i="36" s="1"/>
  <c r="BT27" i="36"/>
  <c r="BT25" i="36"/>
  <c r="BL20" i="36"/>
  <c r="BL27" i="36" s="1"/>
  <c r="BI20" i="36"/>
  <c r="BJ20" i="36" s="1"/>
  <c r="BH27" i="36"/>
  <c r="BH25" i="36" s="1"/>
  <c r="AU20" i="36"/>
  <c r="AV20" i="36" s="1"/>
  <c r="AT27" i="36"/>
  <c r="AT25" i="36"/>
  <c r="AS27" i="36"/>
  <c r="AR27" i="36"/>
  <c r="AG20" i="36"/>
  <c r="AH20" i="36" s="1"/>
  <c r="AF27" i="36"/>
  <c r="AE27" i="36"/>
  <c r="AD27" i="36"/>
  <c r="AD25" i="36" s="1"/>
  <c r="S27" i="36"/>
  <c r="T27" i="36" s="1"/>
  <c r="R27" i="36"/>
  <c r="Q27" i="36"/>
  <c r="P27" i="36"/>
  <c r="E20" i="36"/>
  <c r="E27" i="36" s="1"/>
  <c r="D27" i="36"/>
  <c r="BV26" i="36"/>
  <c r="BL26" i="36"/>
  <c r="BJ26" i="36"/>
  <c r="AF26" i="36"/>
  <c r="AR26" i="36" s="1"/>
  <c r="AR25" i="36" s="1"/>
  <c r="Q26" i="36"/>
  <c r="P26" i="36"/>
  <c r="P25" i="36"/>
  <c r="H25" i="36"/>
  <c r="F26" i="36"/>
  <c r="S24" i="36"/>
  <c r="S22" i="36" s="1"/>
  <c r="T22" i="36" s="1"/>
  <c r="R22" i="36"/>
  <c r="E24" i="36"/>
  <c r="F24" i="36" s="1"/>
  <c r="T23" i="36"/>
  <c r="F23" i="36"/>
  <c r="AE22" i="36"/>
  <c r="AD22" i="36"/>
  <c r="Q22" i="36"/>
  <c r="P22" i="36"/>
  <c r="D22" i="36"/>
  <c r="BU21" i="36"/>
  <c r="BV21" i="36" s="1"/>
  <c r="BL21" i="36"/>
  <c r="BI21" i="36"/>
  <c r="BJ21" i="36" s="1"/>
  <c r="AU21" i="36"/>
  <c r="AV21" i="36" s="1"/>
  <c r="AG21" i="36"/>
  <c r="AH21" i="36" s="1"/>
  <c r="S21" i="36"/>
  <c r="T21" i="36" s="1"/>
  <c r="E21" i="36"/>
  <c r="S20" i="36"/>
  <c r="T20" i="36" s="1"/>
  <c r="BX19" i="36"/>
  <c r="BT19" i="36"/>
  <c r="BH19" i="36"/>
  <c r="AX19" i="36"/>
  <c r="AT19" i="36"/>
  <c r="AS19" i="36"/>
  <c r="AR19" i="36"/>
  <c r="AJ19" i="36"/>
  <c r="AF19" i="36"/>
  <c r="AE19" i="36"/>
  <c r="AD19" i="36"/>
  <c r="V19" i="36"/>
  <c r="R19" i="36"/>
  <c r="Q19" i="36"/>
  <c r="P19" i="36"/>
  <c r="H19" i="36"/>
  <c r="D19" i="36"/>
  <c r="BX15" i="36"/>
  <c r="BZ15" i="36"/>
  <c r="BL15" i="36"/>
  <c r="BN15" i="36"/>
  <c r="AS17" i="36"/>
  <c r="AS15" i="36" s="1"/>
  <c r="AR17" i="36"/>
  <c r="AR15" i="36"/>
  <c r="AE17" i="36"/>
  <c r="AD17" i="36"/>
  <c r="AD15" i="36"/>
  <c r="Q17" i="36"/>
  <c r="Q15" i="36" s="1"/>
  <c r="P17" i="36"/>
  <c r="P15" i="36" s="1"/>
  <c r="H15" i="36"/>
  <c r="J15" i="36"/>
  <c r="E17" i="36"/>
  <c r="F17" i="36" s="1"/>
  <c r="BT15" i="36"/>
  <c r="BV15" i="36"/>
  <c r="BH15" i="36"/>
  <c r="BJ15" i="36"/>
  <c r="AX15" i="36"/>
  <c r="AZ15" i="36"/>
  <c r="AT15" i="36"/>
  <c r="AV15" i="36" s="1"/>
  <c r="AF15" i="36"/>
  <c r="AH15" i="36" s="1"/>
  <c r="AE15" i="36"/>
  <c r="V15" i="36"/>
  <c r="X15" i="36"/>
  <c r="R15" i="36"/>
  <c r="T15" i="36" s="1"/>
  <c r="BV13" i="36"/>
  <c r="BL11" i="36"/>
  <c r="BN11" i="36"/>
  <c r="BJ13" i="36"/>
  <c r="AX11" i="36"/>
  <c r="AZ11" i="36" s="1"/>
  <c r="AV13" i="36"/>
  <c r="AS13" i="36"/>
  <c r="AS11" i="36"/>
  <c r="AR13" i="36"/>
  <c r="AR11" i="36"/>
  <c r="AJ11" i="36"/>
  <c r="AH13" i="36"/>
  <c r="AE13" i="36"/>
  <c r="AD13" i="36"/>
  <c r="AD11" i="36" s="1"/>
  <c r="T13" i="36"/>
  <c r="Q13" i="36"/>
  <c r="Q11" i="36"/>
  <c r="P13" i="36"/>
  <c r="P11" i="36" s="1"/>
  <c r="H11" i="36"/>
  <c r="J11" i="36" s="1"/>
  <c r="F13" i="36"/>
  <c r="BV12" i="36"/>
  <c r="BJ12" i="36"/>
  <c r="AV12" i="36"/>
  <c r="AH12" i="36"/>
  <c r="T12" i="36"/>
  <c r="F12" i="36"/>
  <c r="BT11" i="36"/>
  <c r="BV11" i="36"/>
  <c r="BH11" i="36"/>
  <c r="BJ11" i="36"/>
  <c r="AT11" i="36"/>
  <c r="AV11" i="36"/>
  <c r="AF11" i="36"/>
  <c r="AH11" i="36" s="1"/>
  <c r="AE11" i="36"/>
  <c r="V11" i="36"/>
  <c r="X11" i="36"/>
  <c r="R11" i="36"/>
  <c r="T11" i="36" s="1"/>
  <c r="D11" i="36"/>
  <c r="F11" i="36"/>
  <c r="BV10" i="36"/>
  <c r="BJ10" i="36"/>
  <c r="AV10" i="36"/>
  <c r="AH10" i="36"/>
  <c r="T10" i="36"/>
  <c r="F10" i="36"/>
  <c r="BV9" i="36"/>
  <c r="BJ9" i="36"/>
  <c r="AV9" i="36"/>
  <c r="AH9" i="36"/>
  <c r="T9" i="36"/>
  <c r="F9" i="36"/>
  <c r="BX8" i="36"/>
  <c r="BZ8" i="36"/>
  <c r="BT8" i="36"/>
  <c r="BV8" i="36"/>
  <c r="BL8" i="36"/>
  <c r="BN8" i="36"/>
  <c r="BH8" i="36"/>
  <c r="BJ8" i="36"/>
  <c r="AX8" i="36"/>
  <c r="AZ8" i="36"/>
  <c r="AT8" i="36"/>
  <c r="AV8" i="36"/>
  <c r="AS8" i="36"/>
  <c r="AR8" i="36"/>
  <c r="AJ8" i="36"/>
  <c r="AL8" i="36"/>
  <c r="AF8" i="36"/>
  <c r="AH8" i="36"/>
  <c r="AE8" i="36"/>
  <c r="AD8" i="36"/>
  <c r="V8" i="36"/>
  <c r="X8" i="36"/>
  <c r="R8" i="36"/>
  <c r="T8" i="36"/>
  <c r="Q8" i="36"/>
  <c r="P8" i="36"/>
  <c r="H8" i="36"/>
  <c r="J8" i="36"/>
  <c r="D8" i="36"/>
  <c r="F8" i="36"/>
  <c r="B6" i="36"/>
  <c r="C6" i="36"/>
  <c r="D6" i="36"/>
  <c r="P6" i="36"/>
  <c r="Q6" i="36"/>
  <c r="Z6" i="36"/>
  <c r="AD6" i="36"/>
  <c r="AE6" i="36" s="1"/>
  <c r="AN6" i="36"/>
  <c r="AR6" i="36" s="1"/>
  <c r="AS6" i="36" s="1"/>
  <c r="BP6" i="36"/>
  <c r="CB6" i="36"/>
  <c r="CC6" i="36"/>
  <c r="CE6" i="36"/>
  <c r="AR29" i="43"/>
  <c r="AR28" i="43" s="1"/>
  <c r="AR24" i="43" s="1"/>
  <c r="I85" i="45"/>
  <c r="I84" i="45"/>
  <c r="I73" i="45"/>
  <c r="H63" i="45"/>
  <c r="E63" i="45"/>
  <c r="I62" i="45"/>
  <c r="I61" i="45"/>
  <c r="I60" i="45"/>
  <c r="I59" i="45"/>
  <c r="I58" i="45"/>
  <c r="H47" i="45"/>
  <c r="E47" i="45"/>
  <c r="I46" i="45"/>
  <c r="H32" i="45"/>
  <c r="E32" i="45"/>
  <c r="I31" i="45"/>
  <c r="I30" i="45"/>
  <c r="E28" i="45"/>
  <c r="E27" i="45"/>
  <c r="H13" i="45"/>
  <c r="E13" i="45"/>
  <c r="I12" i="45"/>
  <c r="I11" i="45"/>
  <c r="I10" i="45"/>
  <c r="I9" i="45"/>
  <c r="I8" i="45"/>
  <c r="I7" i="45"/>
  <c r="G11" i="43"/>
  <c r="G12" i="43"/>
  <c r="G15" i="43"/>
  <c r="G16" i="43"/>
  <c r="AA9" i="43"/>
  <c r="AA8" i="43" s="1"/>
  <c r="AA13" i="43" s="1"/>
  <c r="AA17" i="43" s="1"/>
  <c r="AA12" i="43"/>
  <c r="AA15" i="43"/>
  <c r="AA14" i="43" s="1"/>
  <c r="AA16" i="43"/>
  <c r="AU10" i="43"/>
  <c r="AU8" i="43"/>
  <c r="AU12" i="43"/>
  <c r="AU15" i="43"/>
  <c r="AU16" i="43"/>
  <c r="AU14" i="43" s="1"/>
  <c r="BO10" i="43"/>
  <c r="BO8" i="43" s="1"/>
  <c r="BO12" i="43"/>
  <c r="BO15" i="43"/>
  <c r="BO14" i="43" s="1"/>
  <c r="CI10" i="43"/>
  <c r="CI8" i="43"/>
  <c r="CI12" i="43"/>
  <c r="CI15" i="43"/>
  <c r="CI14" i="43" s="1"/>
  <c r="DC10" i="43"/>
  <c r="DC8" i="43" s="1"/>
  <c r="DC13" i="43" s="1"/>
  <c r="DC17" i="43" s="1"/>
  <c r="DC12" i="43"/>
  <c r="DC15" i="43"/>
  <c r="DC14" i="43"/>
  <c r="E35" i="43"/>
  <c r="F35" i="43"/>
  <c r="G36" i="43"/>
  <c r="AA35" i="43"/>
  <c r="AA36" i="43"/>
  <c r="AA34" i="43" s="1"/>
  <c r="AU35" i="43"/>
  <c r="AU36" i="43"/>
  <c r="BO35" i="43"/>
  <c r="BO36" i="43"/>
  <c r="CI35" i="43"/>
  <c r="CI36" i="43"/>
  <c r="CI34" i="43" s="1"/>
  <c r="DC35" i="43"/>
  <c r="DC36" i="43"/>
  <c r="E32" i="43"/>
  <c r="E31" i="43"/>
  <c r="F32" i="43"/>
  <c r="G33" i="43"/>
  <c r="AA32" i="43"/>
  <c r="AA33" i="43"/>
  <c r="AA31" i="43" s="1"/>
  <c r="AU32" i="43"/>
  <c r="AU33" i="43"/>
  <c r="AU31" i="43" s="1"/>
  <c r="BO32" i="43"/>
  <c r="BO33" i="43"/>
  <c r="CI32" i="43"/>
  <c r="CI33" i="43"/>
  <c r="DC32" i="43"/>
  <c r="DC31" i="43" s="1"/>
  <c r="DC33" i="43"/>
  <c r="G26" i="43"/>
  <c r="G27" i="43"/>
  <c r="Y28" i="43"/>
  <c r="Y24" i="43" s="1"/>
  <c r="Z28" i="43"/>
  <c r="Z24" i="43"/>
  <c r="Z23" i="43"/>
  <c r="AS28" i="43"/>
  <c r="AT28" i="43"/>
  <c r="AU28" i="43" s="1"/>
  <c r="AU24" i="43" s="1"/>
  <c r="AT24" i="43"/>
  <c r="AT23" i="43" s="1"/>
  <c r="BM28" i="43"/>
  <c r="BN28" i="43"/>
  <c r="BN24" i="43"/>
  <c r="CG28" i="43"/>
  <c r="CH28" i="43"/>
  <c r="CH24" i="43"/>
  <c r="DA28" i="43"/>
  <c r="DB28" i="43"/>
  <c r="DB24" i="43"/>
  <c r="Z34" i="43"/>
  <c r="AT34" i="43"/>
  <c r="BN34" i="43"/>
  <c r="CH34" i="43"/>
  <c r="CH23" i="43" s="1"/>
  <c r="DB34" i="43"/>
  <c r="DB23" i="43" s="1"/>
  <c r="Y34" i="43"/>
  <c r="Y23" i="43" s="1"/>
  <c r="AS34" i="43"/>
  <c r="BM34" i="43"/>
  <c r="CG34" i="43"/>
  <c r="CG23" i="43" s="1"/>
  <c r="DA34" i="43"/>
  <c r="Z31" i="43"/>
  <c r="AT31" i="43"/>
  <c r="BN31" i="43"/>
  <c r="CH31" i="43"/>
  <c r="DB31" i="43"/>
  <c r="Y31" i="43"/>
  <c r="AS31" i="43"/>
  <c r="BM31" i="43"/>
  <c r="CG31" i="43"/>
  <c r="DA31" i="43"/>
  <c r="AA30" i="43"/>
  <c r="AU30" i="43"/>
  <c r="BO30" i="43"/>
  <c r="CI30" i="43"/>
  <c r="DC30" i="43"/>
  <c r="AA29" i="43"/>
  <c r="AU29" i="43"/>
  <c r="BO29" i="43"/>
  <c r="CI29" i="43"/>
  <c r="DC29" i="43"/>
  <c r="F25" i="43"/>
  <c r="F24" i="43"/>
  <c r="E25" i="43"/>
  <c r="E24" i="43"/>
  <c r="F13" i="43"/>
  <c r="F14" i="43"/>
  <c r="F17" i="43" s="1"/>
  <c r="F22" i="43" s="1"/>
  <c r="Z8" i="43"/>
  <c r="Z13" i="43"/>
  <c r="Z17" i="43"/>
  <c r="Z22" i="43" s="1"/>
  <c r="Z14" i="43"/>
  <c r="AT8" i="43"/>
  <c r="AT13" i="43" s="1"/>
  <c r="AT17" i="43" s="1"/>
  <c r="AT22" i="43" s="1"/>
  <c r="AT14" i="43"/>
  <c r="BN8" i="43"/>
  <c r="BN14" i="43"/>
  <c r="CH8" i="43"/>
  <c r="CH14" i="43"/>
  <c r="DB8" i="43"/>
  <c r="DB13" i="43" s="1"/>
  <c r="DB17" i="43" s="1"/>
  <c r="DB22" i="43" s="1"/>
  <c r="DB14" i="43"/>
  <c r="E13" i="43"/>
  <c r="E14" i="43"/>
  <c r="Y8" i="43"/>
  <c r="Y13" i="43"/>
  <c r="Y17" i="43" s="1"/>
  <c r="Y22" i="43" s="1"/>
  <c r="Y14" i="43"/>
  <c r="AS8" i="43"/>
  <c r="AS13" i="43"/>
  <c r="AS17" i="43" s="1"/>
  <c r="AS22" i="43" s="1"/>
  <c r="AS14" i="43"/>
  <c r="BM8" i="43"/>
  <c r="BM14" i="43"/>
  <c r="CG8" i="43"/>
  <c r="CG14" i="43"/>
  <c r="DA8" i="43"/>
  <c r="DA13" i="43"/>
  <c r="DA17" i="43" s="1"/>
  <c r="DA22" i="43" s="1"/>
  <c r="DA14" i="43"/>
  <c r="AR10" i="43"/>
  <c r="AR8" i="43" s="1"/>
  <c r="AR13" i="43" s="1"/>
  <c r="AR17" i="43" s="1"/>
  <c r="AR22" i="43" s="1"/>
  <c r="AV12" i="43"/>
  <c r="BD12" i="43" s="1"/>
  <c r="AV15" i="43"/>
  <c r="AV30" i="43"/>
  <c r="AV28" i="43"/>
  <c r="AV24" i="43"/>
  <c r="AV32" i="43"/>
  <c r="BH32" i="43"/>
  <c r="AV33" i="43"/>
  <c r="AV35" i="43"/>
  <c r="AV36" i="43"/>
  <c r="BD36" i="43"/>
  <c r="CZ8" i="43"/>
  <c r="CZ13" i="43" s="1"/>
  <c r="CZ17" i="43" s="1"/>
  <c r="CZ22" i="43" s="1"/>
  <c r="CZ14" i="43"/>
  <c r="CF8" i="43"/>
  <c r="CF13" i="43" s="1"/>
  <c r="CF17" i="43" s="1"/>
  <c r="CF22" i="43" s="1"/>
  <c r="CF14" i="43"/>
  <c r="BL8" i="43"/>
  <c r="BL14" i="43"/>
  <c r="X8" i="43"/>
  <c r="X13" i="43"/>
  <c r="X14" i="43"/>
  <c r="AR14" i="43"/>
  <c r="X34" i="43"/>
  <c r="X31" i="43"/>
  <c r="X28" i="43"/>
  <c r="X24" i="43" s="1"/>
  <c r="X23" i="43" s="1"/>
  <c r="D34" i="43"/>
  <c r="D31" i="43"/>
  <c r="D24" i="43"/>
  <c r="D23" i="43" s="1"/>
  <c r="P5" i="56"/>
  <c r="D14" i="43"/>
  <c r="DO36" i="43"/>
  <c r="DO35" i="43"/>
  <c r="DO34" i="43" s="1"/>
  <c r="DO23" i="43" s="1"/>
  <c r="DN34" i="43"/>
  <c r="DM34" i="43"/>
  <c r="DO33" i="43"/>
  <c r="DO32" i="43"/>
  <c r="DO31" i="43" s="1"/>
  <c r="DN31" i="43"/>
  <c r="DN28" i="43"/>
  <c r="DN24" i="43"/>
  <c r="DN23" i="43" s="1"/>
  <c r="DM31" i="43"/>
  <c r="DM28" i="43"/>
  <c r="DO30" i="43"/>
  <c r="DO29" i="43"/>
  <c r="DN8" i="43"/>
  <c r="DN13" i="43" s="1"/>
  <c r="DN17" i="43" s="1"/>
  <c r="DN22" i="43" s="1"/>
  <c r="DN14" i="43"/>
  <c r="DM8" i="43"/>
  <c r="DM13" i="43" s="1"/>
  <c r="DM17" i="43" s="1"/>
  <c r="DM22" i="43" s="1"/>
  <c r="DM14" i="43"/>
  <c r="DO16" i="43"/>
  <c r="DO15" i="43"/>
  <c r="DO14" i="43" s="1"/>
  <c r="DO12" i="43"/>
  <c r="DO11" i="43"/>
  <c r="DO10" i="43"/>
  <c r="DO8" i="43" s="1"/>
  <c r="DO13" i="43" s="1"/>
  <c r="I7" i="43"/>
  <c r="J7" i="43" s="1"/>
  <c r="K7" i="43" s="1"/>
  <c r="T7" i="43" s="1"/>
  <c r="U7" i="43" s="1"/>
  <c r="V7" i="43" s="1"/>
  <c r="W7" i="43" s="1"/>
  <c r="X7" i="43" s="1"/>
  <c r="Y7" i="43" s="1"/>
  <c r="Z7" i="43" s="1"/>
  <c r="AA7" i="43" s="1"/>
  <c r="AB7" i="43" s="1"/>
  <c r="AC7" i="43" s="1"/>
  <c r="AD7" i="43" s="1"/>
  <c r="AE7" i="43" s="1"/>
  <c r="AN7" i="43" s="1"/>
  <c r="AO7" i="43" s="1"/>
  <c r="AP7" i="43" s="1"/>
  <c r="AQ7" i="43" s="1"/>
  <c r="AR7" i="43" s="1"/>
  <c r="AS7" i="43" s="1"/>
  <c r="AT7" i="43" s="1"/>
  <c r="AU7" i="43" s="1"/>
  <c r="AV7" i="43" s="1"/>
  <c r="AW7" i="43" s="1"/>
  <c r="AX7" i="43" s="1"/>
  <c r="AY7" i="43" s="1"/>
  <c r="CU36" i="43"/>
  <c r="CU35" i="43"/>
  <c r="CU34" i="43"/>
  <c r="CT34" i="43"/>
  <c r="CS34" i="43"/>
  <c r="CU33" i="43"/>
  <c r="CU32" i="43"/>
  <c r="CU31" i="43" s="1"/>
  <c r="CT31" i="43"/>
  <c r="CT28" i="43"/>
  <c r="CU28" i="43" s="1"/>
  <c r="CU24" i="43" s="1"/>
  <c r="CT24" i="43"/>
  <c r="CS31" i="43"/>
  <c r="CS28" i="43"/>
  <c r="CU30" i="43"/>
  <c r="CU29" i="43"/>
  <c r="CS8" i="43"/>
  <c r="CS13" i="43" s="1"/>
  <c r="CS17" i="43" s="1"/>
  <c r="CS14" i="43"/>
  <c r="CU16" i="43"/>
  <c r="CU15" i="43"/>
  <c r="CU14" i="43"/>
  <c r="CT14" i="43"/>
  <c r="CU12" i="43"/>
  <c r="CU10" i="43"/>
  <c r="CU8" i="43" s="1"/>
  <c r="CU13" i="43" s="1"/>
  <c r="CU17" i="43" s="1"/>
  <c r="CU22" i="43" s="1"/>
  <c r="CT8" i="43"/>
  <c r="CT13" i="43" s="1"/>
  <c r="CT17" i="43" s="1"/>
  <c r="CT22" i="43" s="1"/>
  <c r="CA36" i="43"/>
  <c r="CA35" i="43"/>
  <c r="CA34" i="43" s="1"/>
  <c r="BZ34" i="43"/>
  <c r="BY34" i="43"/>
  <c r="CA33" i="43"/>
  <c r="CA32" i="43"/>
  <c r="CA31" i="43" s="1"/>
  <c r="BZ31" i="43"/>
  <c r="BZ28" i="43"/>
  <c r="BY31" i="43"/>
  <c r="BY28" i="43"/>
  <c r="CA28" i="43" s="1"/>
  <c r="CA24" i="43" s="1"/>
  <c r="CA30" i="43"/>
  <c r="CA29" i="43"/>
  <c r="BZ8" i="43"/>
  <c r="BZ13" i="43" s="1"/>
  <c r="BZ17" i="43" s="1"/>
  <c r="BZ22" i="43" s="1"/>
  <c r="BZ14" i="43"/>
  <c r="BY8" i="43"/>
  <c r="BY13" i="43"/>
  <c r="BY14" i="43"/>
  <c r="CA16" i="43"/>
  <c r="CA15" i="43"/>
  <c r="CA12" i="43"/>
  <c r="CA10" i="43"/>
  <c r="CA8" i="43" s="1"/>
  <c r="CA13" i="43" s="1"/>
  <c r="CA17" i="43" s="1"/>
  <c r="CA22" i="43" s="1"/>
  <c r="BG36" i="43"/>
  <c r="BG35" i="43"/>
  <c r="BG34" i="43" s="1"/>
  <c r="BF34" i="43"/>
  <c r="BF23" i="43" s="1"/>
  <c r="BE34" i="43"/>
  <c r="BG33" i="43"/>
  <c r="BG32" i="43"/>
  <c r="BG31" i="43" s="1"/>
  <c r="BG23" i="43" s="1"/>
  <c r="BF31" i="43"/>
  <c r="BF28" i="43"/>
  <c r="BF24" i="43"/>
  <c r="BE31" i="43"/>
  <c r="BE28" i="43"/>
  <c r="BG30" i="43"/>
  <c r="BF8" i="43"/>
  <c r="BF13" i="43" s="1"/>
  <c r="BF17" i="43" s="1"/>
  <c r="BF22" i="43" s="1"/>
  <c r="BF14" i="43"/>
  <c r="BE8" i="43"/>
  <c r="BE13" i="43" s="1"/>
  <c r="BE17" i="43" s="1"/>
  <c r="BE22" i="43" s="1"/>
  <c r="BE14" i="43"/>
  <c r="BG16" i="43"/>
  <c r="BG15" i="43"/>
  <c r="BG12" i="43"/>
  <c r="BG10" i="43"/>
  <c r="BG9" i="43"/>
  <c r="BG8" i="43" s="1"/>
  <c r="BG13" i="43" s="1"/>
  <c r="BG17" i="43" s="1"/>
  <c r="BG22" i="43" s="1"/>
  <c r="AM36" i="43"/>
  <c r="AM35" i="43"/>
  <c r="AL34" i="43"/>
  <c r="AK34" i="43"/>
  <c r="AM33" i="43"/>
  <c r="AM32" i="43"/>
  <c r="AM31" i="43" s="1"/>
  <c r="AL31" i="43"/>
  <c r="AL28" i="43"/>
  <c r="AL24" i="43" s="1"/>
  <c r="AL23" i="43" s="1"/>
  <c r="AK31" i="43"/>
  <c r="AK28" i="43"/>
  <c r="AK24" i="43"/>
  <c r="AM30" i="43"/>
  <c r="AM29" i="43"/>
  <c r="AM16" i="43"/>
  <c r="AM14" i="43" s="1"/>
  <c r="AM15" i="43"/>
  <c r="AL14" i="43"/>
  <c r="AK14" i="43"/>
  <c r="AM12" i="43"/>
  <c r="AM9" i="43"/>
  <c r="AM8" i="43"/>
  <c r="AM13" i="43" s="1"/>
  <c r="AM17" i="43" s="1"/>
  <c r="AL8" i="43"/>
  <c r="AL13" i="43"/>
  <c r="AL17" i="43" s="1"/>
  <c r="AL22" i="43" s="1"/>
  <c r="AK8" i="43"/>
  <c r="AK13" i="43"/>
  <c r="AK17" i="43" s="1"/>
  <c r="AK22" i="43" s="1"/>
  <c r="S36" i="43"/>
  <c r="S35" i="43"/>
  <c r="S34" i="43"/>
  <c r="R34" i="43"/>
  <c r="Q34" i="43"/>
  <c r="S33" i="43"/>
  <c r="S32" i="43"/>
  <c r="R31" i="43"/>
  <c r="R25" i="43"/>
  <c r="R24" i="43"/>
  <c r="Q31" i="43"/>
  <c r="Q25" i="43"/>
  <c r="Q24" i="43" s="1"/>
  <c r="Q23" i="43" s="1"/>
  <c r="S27" i="43"/>
  <c r="S26" i="43"/>
  <c r="S25" i="43" s="1"/>
  <c r="S24" i="43" s="1"/>
  <c r="S23" i="43" s="1"/>
  <c r="R13" i="43"/>
  <c r="R17" i="43"/>
  <c r="R22" i="43" s="1"/>
  <c r="Q13" i="43"/>
  <c r="Q17" i="43"/>
  <c r="Q22" i="43"/>
  <c r="S16" i="43"/>
  <c r="S15" i="43"/>
  <c r="S12" i="43"/>
  <c r="S11" i="43"/>
  <c r="S13" i="43" s="1"/>
  <c r="S17" i="43" s="1"/>
  <c r="Q7" i="43"/>
  <c r="R7" i="43"/>
  <c r="S7" i="43" s="1"/>
  <c r="M7" i="43"/>
  <c r="N7" i="43" s="1"/>
  <c r="O7" i="43" s="1"/>
  <c r="K12" i="43"/>
  <c r="DS34" i="43"/>
  <c r="DR34" i="43"/>
  <c r="DR23" i="43" s="1"/>
  <c r="DQ34" i="43"/>
  <c r="DQ23" i="43" s="1"/>
  <c r="DS31" i="43"/>
  <c r="DR31" i="43"/>
  <c r="DQ31" i="43"/>
  <c r="DS25" i="43"/>
  <c r="DS24" i="43"/>
  <c r="DR25" i="43"/>
  <c r="DR24" i="43"/>
  <c r="DQ25" i="43"/>
  <c r="DQ24" i="43"/>
  <c r="DS14" i="43"/>
  <c r="DR14" i="43"/>
  <c r="DQ14" i="43"/>
  <c r="DQ17" i="43" s="1"/>
  <c r="DQ22" i="43" s="1"/>
  <c r="DS13" i="43"/>
  <c r="DR13" i="43"/>
  <c r="DR17" i="43"/>
  <c r="DR22" i="43" s="1"/>
  <c r="DQ13" i="43"/>
  <c r="CY34" i="43"/>
  <c r="CX34" i="43"/>
  <c r="CW34" i="43"/>
  <c r="CY31" i="43"/>
  <c r="CX31" i="43"/>
  <c r="CW31" i="43"/>
  <c r="CY25" i="43"/>
  <c r="CY24" i="43" s="1"/>
  <c r="CY23" i="43" s="1"/>
  <c r="CX25" i="43"/>
  <c r="CX24" i="43" s="1"/>
  <c r="CX23" i="43" s="1"/>
  <c r="CW25" i="43"/>
  <c r="CW24" i="43" s="1"/>
  <c r="CW23" i="43" s="1"/>
  <c r="CY14" i="43"/>
  <c r="CX14" i="43"/>
  <c r="CX17" i="43" s="1"/>
  <c r="CX22" i="43" s="1"/>
  <c r="CW14" i="43"/>
  <c r="CW17" i="43" s="1"/>
  <c r="CW22" i="43" s="1"/>
  <c r="CY13" i="43"/>
  <c r="CX13" i="43"/>
  <c r="CW13" i="43"/>
  <c r="CE34" i="43"/>
  <c r="CD34" i="43"/>
  <c r="CC34" i="43"/>
  <c r="CE31" i="43"/>
  <c r="CD31" i="43"/>
  <c r="CC31" i="43"/>
  <c r="CE25" i="43"/>
  <c r="CE24" i="43"/>
  <c r="CE23" i="43" s="1"/>
  <c r="CD25" i="43"/>
  <c r="CD24" i="43"/>
  <c r="CD23" i="43" s="1"/>
  <c r="CC25" i="43"/>
  <c r="CC24" i="43" s="1"/>
  <c r="CC23" i="43" s="1"/>
  <c r="CE14" i="43"/>
  <c r="CE22" i="43"/>
  <c r="CD14" i="43"/>
  <c r="CC14" i="43"/>
  <c r="CC17" i="43" s="1"/>
  <c r="CC22" i="43" s="1"/>
  <c r="CE13" i="43"/>
  <c r="CE17" i="43" s="1"/>
  <c r="CD13" i="43"/>
  <c r="CD17" i="43" s="1"/>
  <c r="CD22" i="43" s="1"/>
  <c r="CC13" i="43"/>
  <c r="BK34" i="43"/>
  <c r="BJ34" i="43"/>
  <c r="BI34" i="43"/>
  <c r="BK31" i="43"/>
  <c r="BJ31" i="43"/>
  <c r="BJ23" i="43" s="1"/>
  <c r="BI31" i="43"/>
  <c r="BK25" i="43"/>
  <c r="BK24" i="43"/>
  <c r="BK23" i="43"/>
  <c r="BJ25" i="43"/>
  <c r="BJ24" i="43"/>
  <c r="BI25" i="43"/>
  <c r="BI24" i="43"/>
  <c r="BI23" i="43" s="1"/>
  <c r="BK14" i="43"/>
  <c r="BJ14" i="43"/>
  <c r="BI14" i="43"/>
  <c r="BK13" i="43"/>
  <c r="BJ13" i="43"/>
  <c r="BJ17" i="43" s="1"/>
  <c r="BJ22" i="43" s="1"/>
  <c r="BI13" i="43"/>
  <c r="BI17" i="43"/>
  <c r="BI22" i="43" s="1"/>
  <c r="AQ34" i="43"/>
  <c r="AP34" i="43"/>
  <c r="AO34" i="43"/>
  <c r="AQ31" i="43"/>
  <c r="AP31" i="43"/>
  <c r="AO31" i="43"/>
  <c r="AQ25" i="43"/>
  <c r="AQ24" i="43" s="1"/>
  <c r="AQ23" i="43" s="1"/>
  <c r="AP25" i="43"/>
  <c r="AP24" i="43" s="1"/>
  <c r="AP23" i="43" s="1"/>
  <c r="AO25" i="43"/>
  <c r="AO24" i="43" s="1"/>
  <c r="AO23" i="43" s="1"/>
  <c r="AQ14" i="43"/>
  <c r="AP14" i="43"/>
  <c r="AO14" i="43"/>
  <c r="AQ13" i="43"/>
  <c r="AP13" i="43"/>
  <c r="AO13" i="43"/>
  <c r="AO17" i="43" s="1"/>
  <c r="W34" i="43"/>
  <c r="V34" i="43"/>
  <c r="U34" i="43"/>
  <c r="W31" i="43"/>
  <c r="V31" i="43"/>
  <c r="U31" i="43"/>
  <c r="W25" i="43"/>
  <c r="W24" i="43"/>
  <c r="V25" i="43"/>
  <c r="V24" i="43" s="1"/>
  <c r="U25" i="43"/>
  <c r="U24" i="43" s="1"/>
  <c r="W14" i="43"/>
  <c r="V14" i="43"/>
  <c r="U14" i="43"/>
  <c r="U17" i="43" s="1"/>
  <c r="W13" i="43"/>
  <c r="V13" i="43"/>
  <c r="U13" i="43"/>
  <c r="U22" i="43"/>
  <c r="AD14" i="43"/>
  <c r="AC14" i="43"/>
  <c r="AE12" i="43"/>
  <c r="AE15" i="43"/>
  <c r="AE14" i="43" s="1"/>
  <c r="AE16" i="43"/>
  <c r="J31" i="43"/>
  <c r="K35" i="43"/>
  <c r="J34" i="43"/>
  <c r="K27" i="43"/>
  <c r="K25" i="43" s="1"/>
  <c r="K24" i="43" s="1"/>
  <c r="K32" i="43"/>
  <c r="I31" i="43"/>
  <c r="AE36" i="43"/>
  <c r="AE35" i="43"/>
  <c r="AE34" i="43"/>
  <c r="AE32" i="43"/>
  <c r="AE33" i="43"/>
  <c r="AE31" i="43"/>
  <c r="AE30" i="43"/>
  <c r="AY30" i="43"/>
  <c r="BS30" i="43"/>
  <c r="CM30" i="43"/>
  <c r="AE29" i="43"/>
  <c r="CM29" i="43"/>
  <c r="DG29" i="43"/>
  <c r="AD28" i="43"/>
  <c r="AD34" i="43"/>
  <c r="AC34" i="43"/>
  <c r="K16" i="43"/>
  <c r="AY16" i="43"/>
  <c r="BS16" i="43"/>
  <c r="BS14" i="43" s="1"/>
  <c r="CM16" i="43"/>
  <c r="CM14" i="43" s="1"/>
  <c r="DG16" i="43"/>
  <c r="K11" i="43"/>
  <c r="K13" i="43" s="1"/>
  <c r="DG11" i="43"/>
  <c r="DG13" i="43" s="1"/>
  <c r="H36" i="43"/>
  <c r="H34" i="43"/>
  <c r="AB36" i="43"/>
  <c r="AN36" i="43"/>
  <c r="AN34" i="43"/>
  <c r="DD35" i="43"/>
  <c r="DD36" i="43"/>
  <c r="DL36" i="43"/>
  <c r="H32" i="43"/>
  <c r="P32" i="43"/>
  <c r="H33" i="43"/>
  <c r="AB32" i="43"/>
  <c r="AN32" i="43" s="1"/>
  <c r="AB33" i="43"/>
  <c r="AN33" i="43"/>
  <c r="AJ33" i="43"/>
  <c r="BD32" i="43"/>
  <c r="DD32" i="43"/>
  <c r="DD33" i="43"/>
  <c r="DP33" i="43"/>
  <c r="H27" i="43"/>
  <c r="P27" i="43"/>
  <c r="AB30" i="43"/>
  <c r="BP28" i="43"/>
  <c r="BP24" i="43" s="1"/>
  <c r="DD30" i="43"/>
  <c r="H11" i="43"/>
  <c r="H12" i="43"/>
  <c r="P12" i="43"/>
  <c r="H15" i="43"/>
  <c r="T15" i="43" s="1"/>
  <c r="T14" i="43" s="1"/>
  <c r="AB9" i="43"/>
  <c r="AN9" i="43" s="1"/>
  <c r="AN8" i="43" s="1"/>
  <c r="AJ9" i="43"/>
  <c r="AJ8" i="43" s="1"/>
  <c r="AB12" i="43"/>
  <c r="AN12" i="43" s="1"/>
  <c r="AJ12" i="43"/>
  <c r="AB15" i="43"/>
  <c r="BP10" i="43"/>
  <c r="BP12" i="43"/>
  <c r="BX12" i="43" s="1"/>
  <c r="CB12" i="43"/>
  <c r="BP15" i="43"/>
  <c r="DD10" i="43"/>
  <c r="DL10" i="43" s="1"/>
  <c r="DL8" i="43" s="1"/>
  <c r="DP10" i="43"/>
  <c r="DP8" i="43" s="1"/>
  <c r="DL11" i="43"/>
  <c r="DD12" i="43"/>
  <c r="DL12" i="43" s="1"/>
  <c r="DD15" i="43"/>
  <c r="DD14" i="43"/>
  <c r="DP35" i="43"/>
  <c r="D7" i="43"/>
  <c r="AY9" i="43"/>
  <c r="AY8" i="43" s="1"/>
  <c r="AY13" i="43" s="1"/>
  <c r="AY17" i="43" s="1"/>
  <c r="CB10" i="43"/>
  <c r="CB8" i="43"/>
  <c r="CB13" i="43" s="1"/>
  <c r="CB17" i="43" s="1"/>
  <c r="T11" i="43"/>
  <c r="DP11" i="43"/>
  <c r="D13" i="43"/>
  <c r="D17" i="43"/>
  <c r="D22" i="43" s="1"/>
  <c r="I13" i="43"/>
  <c r="I17" i="43"/>
  <c r="J13" i="43"/>
  <c r="J17" i="43"/>
  <c r="J22" i="43" s="1"/>
  <c r="AR31" i="43"/>
  <c r="AR23" i="43" s="1"/>
  <c r="AR34" i="43"/>
  <c r="BL28" i="43"/>
  <c r="BL24" i="43" s="1"/>
  <c r="BL31" i="43"/>
  <c r="BL34" i="43"/>
  <c r="CB35" i="43"/>
  <c r="CF28" i="43"/>
  <c r="CF31" i="43"/>
  <c r="CF34" i="43"/>
  <c r="CZ28" i="43"/>
  <c r="CZ24" i="43"/>
  <c r="CZ23" i="43" s="1"/>
  <c r="CZ31" i="43"/>
  <c r="CZ34" i="43"/>
  <c r="E38" i="43"/>
  <c r="E39" i="43"/>
  <c r="F42" i="43"/>
  <c r="F43" i="43"/>
  <c r="F45" i="43"/>
  <c r="E46" i="43"/>
  <c r="E48" i="43"/>
  <c r="F48" i="43"/>
  <c r="G48" i="43"/>
  <c r="CB30" i="43"/>
  <c r="CB28" i="43" s="1"/>
  <c r="CB24" i="43" s="1"/>
  <c r="CB23" i="43" s="1"/>
  <c r="BH36" i="43"/>
  <c r="BH12" i="43"/>
  <c r="AB8" i="43"/>
  <c r="AB13" i="43" s="1"/>
  <c r="BS29" i="43"/>
  <c r="I34" i="43"/>
  <c r="K36" i="43"/>
  <c r="K33" i="43"/>
  <c r="K31" i="43" s="1"/>
  <c r="AC28" i="43"/>
  <c r="AC24" i="43" s="1"/>
  <c r="AC23" i="43" s="1"/>
  <c r="AC31" i="43"/>
  <c r="DG30" i="43"/>
  <c r="AD31" i="43"/>
  <c r="BG14" i="43"/>
  <c r="CG24" i="43"/>
  <c r="DM24" i="43"/>
  <c r="DM23" i="43" s="1"/>
  <c r="AU13" i="43"/>
  <c r="AU17" i="43"/>
  <c r="AU22" i="43" s="1"/>
  <c r="AM28" i="43"/>
  <c r="AM24" i="43" s="1"/>
  <c r="CS24" i="43"/>
  <c r="CS23" i="43" s="1"/>
  <c r="BL23" i="43"/>
  <c r="DC34" i="43"/>
  <c r="BX30" i="43"/>
  <c r="BX28" i="43" s="1"/>
  <c r="BX24" i="43" s="1"/>
  <c r="BY17" i="43"/>
  <c r="BY22" i="43" s="1"/>
  <c r="S31" i="43"/>
  <c r="T12" i="43"/>
  <c r="T13" i="43"/>
  <c r="T17" i="43" s="1"/>
  <c r="S14" i="43"/>
  <c r="BP14" i="43"/>
  <c r="BG28" i="43"/>
  <c r="BG24" i="43" s="1"/>
  <c r="F46" i="43"/>
  <c r="CS22" i="43"/>
  <c r="BL13" i="43"/>
  <c r="BL17" i="43" s="1"/>
  <c r="BL22" i="43" s="1"/>
  <c r="CB15" i="43"/>
  <c r="CB14" i="43" s="1"/>
  <c r="BN13" i="43"/>
  <c r="BN17" i="43"/>
  <c r="CI28" i="43"/>
  <c r="CI24" i="43" s="1"/>
  <c r="BN23" i="43"/>
  <c r="AA28" i="43"/>
  <c r="AA24" i="43"/>
  <c r="AA23" i="43" s="1"/>
  <c r="CH13" i="43"/>
  <c r="CH17" i="43"/>
  <c r="CH22" i="43"/>
  <c r="AS24" i="43"/>
  <c r="AS23" i="43"/>
  <c r="AM34" i="43"/>
  <c r="X17" i="43"/>
  <c r="X22" i="43" s="1"/>
  <c r="BD35" i="43"/>
  <c r="BH35" i="43"/>
  <c r="BH34" i="43"/>
  <c r="BH33" i="43"/>
  <c r="BH31" i="43"/>
  <c r="AB31" i="43"/>
  <c r="G6" i="43"/>
  <c r="BE24" i="43"/>
  <c r="BE23" i="43" s="1"/>
  <c r="DA24" i="43"/>
  <c r="DA23" i="43"/>
  <c r="DC28" i="43"/>
  <c r="DC24" i="43" s="1"/>
  <c r="DC23" i="43" s="1"/>
  <c r="AB34" i="43"/>
  <c r="CG13" i="43"/>
  <c r="CG17" i="43"/>
  <c r="CG22" i="43" s="1"/>
  <c r="BH30" i="43"/>
  <c r="BH28" i="43"/>
  <c r="BH24" i="43"/>
  <c r="BH23" i="43" s="1"/>
  <c r="BM13" i="43"/>
  <c r="BM17" i="43" s="1"/>
  <c r="BM22" i="43" s="1"/>
  <c r="CI31" i="43"/>
  <c r="DO28" i="43"/>
  <c r="DO24" i="43" s="1"/>
  <c r="DD8" i="43"/>
  <c r="G35" i="43"/>
  <c r="G34" i="43" s="1"/>
  <c r="E34" i="43"/>
  <c r="E50" i="43" s="1"/>
  <c r="E52" i="43" s="1"/>
  <c r="E23" i="43"/>
  <c r="W17" i="43"/>
  <c r="W22" i="43"/>
  <c r="G32" i="43"/>
  <c r="G31" i="43" s="1"/>
  <c r="BP8" i="43"/>
  <c r="BP13" i="43"/>
  <c r="BP17" i="43" s="1"/>
  <c r="BP22" i="43" s="1"/>
  <c r="BN22" i="43"/>
  <c r="F34" i="43"/>
  <c r="AO22" i="43"/>
  <c r="DS17" i="43"/>
  <c r="DS22" i="43"/>
  <c r="AP17" i="43"/>
  <c r="AP22" i="43" s="1"/>
  <c r="CA14" i="43"/>
  <c r="BP34" i="43"/>
  <c r="P11" i="43"/>
  <c r="P13" i="43" s="1"/>
  <c r="H13" i="43"/>
  <c r="AV31" i="43"/>
  <c r="G25" i="43"/>
  <c r="G24" i="43" s="1"/>
  <c r="G23" i="43" s="1"/>
  <c r="BX35" i="43"/>
  <c r="BP31" i="43"/>
  <c r="CB33" i="43"/>
  <c r="CB31" i="43"/>
  <c r="F31" i="43"/>
  <c r="F23" i="43" s="1"/>
  <c r="CR12" i="43"/>
  <c r="BX15" i="43"/>
  <c r="BX14" i="43" s="1"/>
  <c r="AE26" i="36"/>
  <c r="AE25" i="36"/>
  <c r="AD26" i="36"/>
  <c r="R25" i="36"/>
  <c r="V25" i="36"/>
  <c r="BZ24" i="43"/>
  <c r="BZ23" i="43"/>
  <c r="P25" i="43"/>
  <c r="P24" i="43" s="1"/>
  <c r="CI13" i="43"/>
  <c r="AD24" i="43"/>
  <c r="AD23" i="43" s="1"/>
  <c r="AE28" i="43"/>
  <c r="AE24" i="43"/>
  <c r="DD34" i="43"/>
  <c r="DP36" i="43"/>
  <c r="DP34" i="43"/>
  <c r="DL35" i="43"/>
  <c r="K34" i="43"/>
  <c r="BX10" i="43"/>
  <c r="BX8" i="43" s="1"/>
  <c r="BX13" i="43" s="1"/>
  <c r="BX17" i="43" s="1"/>
  <c r="V17" i="43"/>
  <c r="V22" i="43"/>
  <c r="R23" i="43"/>
  <c r="DD31" i="43"/>
  <c r="DL33" i="43"/>
  <c r="AN31" i="43"/>
  <c r="DL32" i="43"/>
  <c r="DL31" i="43" s="1"/>
  <c r="DP32" i="43"/>
  <c r="DP31" i="43"/>
  <c r="CB36" i="43"/>
  <c r="CB34" i="43"/>
  <c r="BX36" i="43"/>
  <c r="E17" i="43"/>
  <c r="E22" i="43" s="1"/>
  <c r="AQ17" i="43"/>
  <c r="AQ22" i="43"/>
  <c r="BO34" i="43"/>
  <c r="V23" i="43"/>
  <c r="Q25" i="36"/>
  <c r="D25" i="36"/>
  <c r="P36" i="43"/>
  <c r="P34" i="43"/>
  <c r="BP23" i="43"/>
  <c r="BO13" i="43"/>
  <c r="BO17" i="43"/>
  <c r="BO22" i="43"/>
  <c r="AJ32" i="43"/>
  <c r="AJ31" i="43" s="1"/>
  <c r="DC22" i="43"/>
  <c r="BX33" i="43"/>
  <c r="BX31" i="43" s="1"/>
  <c r="I74" i="45" l="1"/>
  <c r="I50" i="45"/>
  <c r="AH26" i="36"/>
  <c r="AS26" i="36"/>
  <c r="AS25" i="36" s="1"/>
  <c r="AJ26" i="36"/>
  <c r="F20" i="36"/>
  <c r="CJ23" i="43"/>
  <c r="CJ36" i="43"/>
  <c r="CR36" i="43" s="1"/>
  <c r="CR34" i="43" s="1"/>
  <c r="CJ17" i="43"/>
  <c r="CJ22" i="43" s="1"/>
  <c r="CV12" i="43"/>
  <c r="CV13" i="43"/>
  <c r="BI19" i="36"/>
  <c r="BJ19" i="36" s="1"/>
  <c r="E19" i="36"/>
  <c r="F19" i="36" s="1"/>
  <c r="AF25" i="36"/>
  <c r="I47" i="45"/>
  <c r="I13" i="45"/>
  <c r="I32" i="45"/>
  <c r="I63" i="45"/>
  <c r="DL13" i="43"/>
  <c r="DL18" i="43"/>
  <c r="BD34" i="43"/>
  <c r="F21" i="36"/>
  <c r="CR19" i="43"/>
  <c r="CV15" i="43"/>
  <c r="CV14" i="43" s="1"/>
  <c r="AU27" i="36"/>
  <c r="AV27" i="36" s="1"/>
  <c r="CJ21" i="43"/>
  <c r="CV21" i="43" s="1"/>
  <c r="CJ32" i="43"/>
  <c r="AU19" i="36"/>
  <c r="AV19" i="36" s="1"/>
  <c r="CR15" i="43"/>
  <c r="CR14" i="43" s="1"/>
  <c r="AV10" i="43"/>
  <c r="E25" i="36"/>
  <c r="F25" i="36" s="1"/>
  <c r="F27" i="36"/>
  <c r="S19" i="36"/>
  <c r="T19" i="36" s="1"/>
  <c r="BI27" i="36"/>
  <c r="BJ27" i="36" s="1"/>
  <c r="T24" i="36"/>
  <c r="BU27" i="36"/>
  <c r="BV27" i="36" s="1"/>
  <c r="E22" i="36"/>
  <c r="F22" i="36" s="1"/>
  <c r="BL25" i="36"/>
  <c r="BX23" i="43"/>
  <c r="BX22" i="43"/>
  <c r="AM22" i="43"/>
  <c r="AZ7" i="43"/>
  <c r="BA7" i="43" s="1"/>
  <c r="BB7" i="43" s="1"/>
  <c r="BC7" i="43" s="1"/>
  <c r="BD7" i="43" s="1"/>
  <c r="BE7" i="43" s="1"/>
  <c r="BF7" i="43" s="1"/>
  <c r="BG7" i="43" s="1"/>
  <c r="BH7" i="43"/>
  <c r="BI7" i="43" s="1"/>
  <c r="BJ7" i="43" s="1"/>
  <c r="BK7" i="43" s="1"/>
  <c r="BL7" i="43" s="1"/>
  <c r="BM7" i="43" s="1"/>
  <c r="BN7" i="43" s="1"/>
  <c r="BO7" i="43" s="1"/>
  <c r="BP7" i="43" s="1"/>
  <c r="BQ7" i="43" s="1"/>
  <c r="BR7" i="43" s="1"/>
  <c r="BS7" i="43" s="1"/>
  <c r="P23" i="43"/>
  <c r="AV14" i="43"/>
  <c r="BH15" i="43"/>
  <c r="BH14" i="43" s="1"/>
  <c r="P19" i="43"/>
  <c r="P18" i="43" s="1"/>
  <c r="I22" i="43"/>
  <c r="CY17" i="43"/>
  <c r="CY22" i="43" s="1"/>
  <c r="AE13" i="43"/>
  <c r="AE17" i="43" s="1"/>
  <c r="DO17" i="43"/>
  <c r="DO22" i="43" s="1"/>
  <c r="X21" i="36"/>
  <c r="AZ21" i="36"/>
  <c r="K17" i="43"/>
  <c r="CI23" i="43"/>
  <c r="CL18" i="43"/>
  <c r="CL21" i="43"/>
  <c r="CM21" i="43" s="1"/>
  <c r="CM18" i="43" s="1"/>
  <c r="AB28" i="43"/>
  <c r="AB24" i="43" s="1"/>
  <c r="AB23" i="43" s="1"/>
  <c r="AN30" i="43"/>
  <c r="AN28" i="43" s="1"/>
  <c r="AN24" i="43" s="1"/>
  <c r="AN23" i="43" s="1"/>
  <c r="T32" i="43"/>
  <c r="T31" i="43" s="1"/>
  <c r="H31" i="43"/>
  <c r="AA22" i="43"/>
  <c r="AZ26" i="36"/>
  <c r="H17" i="43"/>
  <c r="H22" i="43" s="1"/>
  <c r="DG17" i="43"/>
  <c r="DG22" i="43" s="1"/>
  <c r="T33" i="43"/>
  <c r="P33" i="43"/>
  <c r="P31" i="43" s="1"/>
  <c r="AE23" i="43"/>
  <c r="BN26" i="36"/>
  <c r="CR21" i="43"/>
  <c r="AJ36" i="43"/>
  <c r="AJ34" i="43" s="1"/>
  <c r="CI17" i="43"/>
  <c r="CI22" i="43" s="1"/>
  <c r="T27" i="43"/>
  <c r="T25" i="43" s="1"/>
  <c r="T24" i="43" s="1"/>
  <c r="H25" i="43"/>
  <c r="H24" i="43" s="1"/>
  <c r="G14" i="43"/>
  <c r="AC17" i="43"/>
  <c r="AC22" i="43" s="1"/>
  <c r="AY24" i="43"/>
  <c r="AY23" i="43" s="1"/>
  <c r="CL22" i="43"/>
  <c r="BD30" i="43"/>
  <c r="BD28" i="43" s="1"/>
  <c r="BD24" i="43" s="1"/>
  <c r="BU19" i="36"/>
  <c r="BV19" i="36" s="1"/>
  <c r="DP15" i="43"/>
  <c r="DP14" i="43" s="1"/>
  <c r="G13" i="43"/>
  <c r="G17" i="43" s="1"/>
  <c r="G22" i="43" s="1"/>
  <c r="AG27" i="36"/>
  <c r="AG19" i="36"/>
  <c r="AH19" i="36" s="1"/>
  <c r="DG14" i="43"/>
  <c r="AJ25" i="36"/>
  <c r="AL26" i="36"/>
  <c r="BD33" i="43"/>
  <c r="BD31" i="43" s="1"/>
  <c r="DP12" i="43"/>
  <c r="DP13" i="43" s="1"/>
  <c r="U23" i="43"/>
  <c r="S25" i="36"/>
  <c r="T25" i="36" s="1"/>
  <c r="T26" i="36"/>
  <c r="AD17" i="43"/>
  <c r="AD22" i="43" s="1"/>
  <c r="BX34" i="43"/>
  <c r="AF7" i="43"/>
  <c r="AG7" i="43" s="1"/>
  <c r="AH7" i="43" s="1"/>
  <c r="AI7" i="43" s="1"/>
  <c r="AJ7" i="43" s="1"/>
  <c r="AK7" i="43" s="1"/>
  <c r="AL7" i="43" s="1"/>
  <c r="AM7" i="43" s="1"/>
  <c r="AJ13" i="43"/>
  <c r="S22" i="43"/>
  <c r="CT23" i="43"/>
  <c r="BO31" i="43"/>
  <c r="BN21" i="36"/>
  <c r="AM23" i="43"/>
  <c r="AN13" i="43"/>
  <c r="W23" i="43"/>
  <c r="CU23" i="43"/>
  <c r="BO28" i="43"/>
  <c r="BO24" i="43" s="1"/>
  <c r="BM24" i="43"/>
  <c r="BM23" i="43" s="1"/>
  <c r="AU34" i="43"/>
  <c r="AU23" i="43" s="1"/>
  <c r="BL19" i="36"/>
  <c r="DD28" i="43"/>
  <c r="DD24" i="43" s="1"/>
  <c r="DD23" i="43" s="1"/>
  <c r="DS23" i="43"/>
  <c r="AK23" i="43"/>
  <c r="P15" i="43"/>
  <c r="P14" i="43" s="1"/>
  <c r="P17" i="43" s="1"/>
  <c r="P22" i="43" s="1"/>
  <c r="DL34" i="43"/>
  <c r="AN15" i="43"/>
  <c r="AN14" i="43" s="1"/>
  <c r="K20" i="43"/>
  <c r="I18" i="43"/>
  <c r="I21" i="43"/>
  <c r="K21" i="43" s="1"/>
  <c r="H14" i="43"/>
  <c r="CM28" i="43"/>
  <c r="AY20" i="43"/>
  <c r="AY18" i="43" s="1"/>
  <c r="AX18" i="43"/>
  <c r="AX22" i="43" s="1"/>
  <c r="DD13" i="43"/>
  <c r="DD17" i="43" s="1"/>
  <c r="DD22" i="43" s="1"/>
  <c r="AL17" i="36"/>
  <c r="CJ35" i="43"/>
  <c r="BX18" i="43"/>
  <c r="BX11" i="36"/>
  <c r="BZ11" i="36" s="1"/>
  <c r="BZ12" i="36"/>
  <c r="AL21" i="36"/>
  <c r="CR20" i="43"/>
  <c r="CV20" i="43"/>
  <c r="T36" i="43"/>
  <c r="T34" i="43" s="1"/>
  <c r="CV36" i="43"/>
  <c r="CV34" i="43" s="1"/>
  <c r="CV33" i="43"/>
  <c r="CV31" i="43" s="1"/>
  <c r="CJ30" i="43"/>
  <c r="CJ29" i="43"/>
  <c r="CF24" i="43"/>
  <c r="CF23" i="43" s="1"/>
  <c r="AB14" i="43"/>
  <c r="AB17" i="43" s="1"/>
  <c r="AB22" i="43" s="1"/>
  <c r="BK17" i="43"/>
  <c r="BK22" i="43" s="1"/>
  <c r="BY24" i="43"/>
  <c r="BY23" i="43" s="1"/>
  <c r="J23" i="36"/>
  <c r="DP30" i="43"/>
  <c r="DP28" i="43" s="1"/>
  <c r="DP24" i="43" s="1"/>
  <c r="DP23" i="43" s="1"/>
  <c r="CA23" i="43"/>
  <c r="AV34" i="43"/>
  <c r="AV23" i="43" s="1"/>
  <c r="K23" i="43"/>
  <c r="X23" i="36"/>
  <c r="BS23" i="43"/>
  <c r="DF23" i="43"/>
  <c r="CB18" i="43"/>
  <c r="CB22" i="43" s="1"/>
  <c r="AW17" i="43"/>
  <c r="AW22" i="43" s="1"/>
  <c r="CM17" i="43"/>
  <c r="CM22" i="43" s="1"/>
  <c r="I23" i="43"/>
  <c r="AA18" i="43"/>
  <c r="AV18" i="43"/>
  <c r="BH19" i="43"/>
  <c r="BH18" i="43" s="1"/>
  <c r="AM18" i="43"/>
  <c r="K18" i="43"/>
  <c r="K14" i="43"/>
  <c r="I86" i="45"/>
  <c r="BG25" i="36"/>
  <c r="AE18" i="43"/>
  <c r="BS13" i="43"/>
  <c r="BS17" i="43" s="1"/>
  <c r="BS22" i="43" s="1"/>
  <c r="DG28" i="43"/>
  <c r="T21" i="43"/>
  <c r="T20" i="43"/>
  <c r="T19" i="43"/>
  <c r="T18" i="43" s="1"/>
  <c r="T22" i="43" s="1"/>
  <c r="CV17" i="43" l="1"/>
  <c r="AU25" i="36"/>
  <c r="AV25" i="36" s="1"/>
  <c r="CR18" i="43"/>
  <c r="BD23" i="43"/>
  <c r="BH10" i="43"/>
  <c r="BH8" i="43" s="1"/>
  <c r="BH13" i="43" s="1"/>
  <c r="BH17" i="43" s="1"/>
  <c r="BH22" i="43" s="1"/>
  <c r="AV8" i="43"/>
  <c r="AV13" i="43" s="1"/>
  <c r="AV17" i="43" s="1"/>
  <c r="AV22" i="43" s="1"/>
  <c r="CR10" i="43"/>
  <c r="CR8" i="43" s="1"/>
  <c r="CR13" i="43" s="1"/>
  <c r="CR17" i="43" s="1"/>
  <c r="CR22" i="43" s="1"/>
  <c r="BU25" i="36"/>
  <c r="BV25" i="36" s="1"/>
  <c r="BI25" i="36"/>
  <c r="BJ25" i="36" s="1"/>
  <c r="DP17" i="43"/>
  <c r="DP22" i="43" s="1"/>
  <c r="BN19" i="36"/>
  <c r="BD15" i="43"/>
  <c r="BD14" i="43" s="1"/>
  <c r="DG24" i="43"/>
  <c r="DG23" i="43" s="1"/>
  <c r="BD19" i="43"/>
  <c r="BD18" i="43" s="1"/>
  <c r="CM24" i="43"/>
  <c r="CM23" i="43" s="1"/>
  <c r="AJ15" i="43"/>
  <c r="AJ14" i="43" s="1"/>
  <c r="AJ17" i="43" s="1"/>
  <c r="AJ22" i="43" s="1"/>
  <c r="BO23" i="43"/>
  <c r="CV30" i="43"/>
  <c r="CV28" i="43" s="1"/>
  <c r="CV24" i="43" s="1"/>
  <c r="CV23" i="43" s="1"/>
  <c r="AY22" i="43"/>
  <c r="H23" i="43"/>
  <c r="AJ30" i="43"/>
  <c r="AJ28" i="43" s="1"/>
  <c r="AJ24" i="43" s="1"/>
  <c r="AJ23" i="43" s="1"/>
  <c r="DL15" i="43"/>
  <c r="DL14" i="43" s="1"/>
  <c r="DL17" i="43" s="1"/>
  <c r="DL22" i="43" s="1"/>
  <c r="BZ19" i="36"/>
  <c r="AN17" i="43"/>
  <c r="AN22" i="43" s="1"/>
  <c r="T23" i="43"/>
  <c r="CB7" i="43"/>
  <c r="CC7" i="43" s="1"/>
  <c r="CD7" i="43" s="1"/>
  <c r="CE7" i="43" s="1"/>
  <c r="CF7" i="43" s="1"/>
  <c r="CG7" i="43" s="1"/>
  <c r="CH7" i="43" s="1"/>
  <c r="CI7" i="43" s="1"/>
  <c r="CJ7" i="43" s="1"/>
  <c r="BT7" i="43"/>
  <c r="BU7" i="43" s="1"/>
  <c r="BV7" i="43" s="1"/>
  <c r="BW7" i="43" s="1"/>
  <c r="BX7" i="43" s="1"/>
  <c r="BY7" i="43" s="1"/>
  <c r="BZ7" i="43" s="1"/>
  <c r="CA7" i="43" s="1"/>
  <c r="AH27" i="36"/>
  <c r="AG25" i="36"/>
  <c r="AH25" i="36" s="1"/>
  <c r="CV18" i="43"/>
  <c r="CV22" i="43" s="1"/>
  <c r="BZ21" i="36"/>
  <c r="BN20" i="36"/>
  <c r="DL30" i="43"/>
  <c r="DL28" i="43" s="1"/>
  <c r="DL24" i="43" s="1"/>
  <c r="DL23" i="43" s="1"/>
  <c r="AE22" i="43"/>
  <c r="K22" i="43"/>
  <c r="BD10" i="43" l="1"/>
  <c r="BD8" i="43" s="1"/>
  <c r="BD13" i="43" s="1"/>
  <c r="BD17" i="43" s="1"/>
  <c r="J21" i="36"/>
  <c r="BD22" i="43"/>
  <c r="X24" i="36"/>
  <c r="X22" i="36"/>
  <c r="CR30" i="43"/>
  <c r="CR28" i="43" s="1"/>
  <c r="CR24" i="43" s="1"/>
  <c r="CR23" i="43" s="1"/>
  <c r="CV7" i="43"/>
  <c r="CZ7" i="43" s="1"/>
  <c r="DA7" i="43" s="1"/>
  <c r="DB7" i="43" s="1"/>
  <c r="DC7" i="43" s="1"/>
  <c r="DD7" i="43" s="1"/>
  <c r="DE7" i="43" s="1"/>
  <c r="DF7" i="43" s="1"/>
  <c r="DG7" i="43" s="1"/>
  <c r="CK7" i="43"/>
  <c r="CL7" i="43" s="1"/>
  <c r="CM7" i="43" s="1"/>
  <c r="CN7" i="43" s="1"/>
  <c r="CO7" i="43" s="1"/>
  <c r="CP7" i="43" s="1"/>
  <c r="CQ7" i="43" s="1"/>
  <c r="CR7" i="43" s="1"/>
  <c r="CS7" i="43" s="1"/>
  <c r="CT7" i="43" s="1"/>
  <c r="CU7" i="43" s="1"/>
  <c r="J24" i="36"/>
  <c r="J22" i="36"/>
  <c r="J19" i="36"/>
  <c r="BZ20" i="36"/>
  <c r="BN27" i="36"/>
  <c r="BN25" i="36"/>
  <c r="AL20" i="36" l="1"/>
  <c r="AL19" i="36"/>
  <c r="X20" i="36"/>
  <c r="X19" i="36"/>
  <c r="BZ25" i="36"/>
  <c r="BZ27" i="36"/>
  <c r="DP7" i="43"/>
  <c r="DQ7" i="43" s="1"/>
  <c r="DR7" i="43" s="1"/>
  <c r="DS7" i="43" s="1"/>
  <c r="DH7" i="43"/>
  <c r="DI7" i="43" s="1"/>
  <c r="DJ7" i="43" s="1"/>
  <c r="DK7" i="43" s="1"/>
  <c r="DL7" i="43" s="1"/>
  <c r="DM7" i="43" s="1"/>
  <c r="DN7" i="43" s="1"/>
  <c r="DO7" i="43" s="1"/>
  <c r="AZ20" i="36"/>
  <c r="AZ19" i="36"/>
  <c r="J20" i="36"/>
  <c r="J25" i="36" l="1"/>
  <c r="J27" i="36"/>
  <c r="X27" i="36"/>
  <c r="X25" i="36"/>
  <c r="AL27" i="36"/>
  <c r="AL25" i="36"/>
  <c r="AZ27" i="36"/>
  <c r="AZ25" i="36"/>
</calcChain>
</file>

<file path=xl/comments1.xml><?xml version="1.0" encoding="utf-8"?>
<comments xmlns="http://schemas.openxmlformats.org/spreadsheetml/2006/main">
  <authors>
    <author>Алексеева</author>
  </authors>
  <commentList>
    <comment ref="S26" authorId="0">
      <text>
        <r>
          <rPr>
            <b/>
            <sz val="9"/>
            <color indexed="81"/>
            <rFont val="Tahoma"/>
            <family val="2"/>
            <charset val="204"/>
          </rPr>
          <t>Алексеева:</t>
        </r>
        <r>
          <rPr>
            <sz val="9"/>
            <color indexed="81"/>
            <rFont val="Tahoma"/>
            <family val="2"/>
            <charset val="204"/>
          </rPr>
          <t xml:space="preserve">
январь-апрель 3 кВт-Ebara, 
май-сентябрь 5,5 -К 65-50-160, 
октябрь-декабрь 4кВт- Ebara</t>
        </r>
      </text>
    </comment>
  </commentList>
</comments>
</file>

<file path=xl/sharedStrings.xml><?xml version="1.0" encoding="utf-8"?>
<sst xmlns="http://schemas.openxmlformats.org/spreadsheetml/2006/main" count="967" uniqueCount="284">
  <si>
    <t>прочим потребителям</t>
  </si>
  <si>
    <t>Срок реализации мероприятия, лет</t>
  </si>
  <si>
    <t>Наименование показателя</t>
  </si>
  <si>
    <t>тыс. руб.</t>
  </si>
  <si>
    <t>%</t>
  </si>
  <si>
    <t>Участок Анюйск</t>
  </si>
  <si>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</si>
  <si>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</si>
  <si>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</si>
  <si>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</si>
  <si>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</si>
  <si>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</si>
  <si>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</si>
  <si>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</si>
  <si>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</si>
  <si>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Участок Билибино</t>
  </si>
  <si>
    <t>Участок Илирней</t>
  </si>
  <si>
    <t>Участок Кепервеем</t>
  </si>
  <si>
    <t>Участок Омолон</t>
  </si>
  <si>
    <t>Участок Островное</t>
  </si>
  <si>
    <t>3.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</si>
  <si>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</si>
  <si>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</si>
  <si>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</si>
  <si>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</si>
  <si>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</si>
  <si>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</si>
  <si>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</si>
  <si>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</si>
  <si>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Показатели эффективности использования ресурсов, в том числе уроветь потерь воды</t>
  </si>
  <si>
    <t>1.1</t>
  </si>
  <si>
    <t>1.2</t>
  </si>
  <si>
    <t>2.1</t>
  </si>
  <si>
    <t>3.1</t>
  </si>
  <si>
    <t>3.2</t>
  </si>
  <si>
    <t>ед./км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</si>
  <si>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</si>
  <si>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Показатели надежности и бесперебойности водоснабжения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</si>
  <si>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</t>
  </si>
  <si>
    <t>-</t>
  </si>
  <si>
    <t>3.1.</t>
  </si>
  <si>
    <t>кВт.ч/     куб.м</t>
  </si>
  <si>
    <t>4.</t>
  </si>
  <si>
    <t>4.1.</t>
  </si>
  <si>
    <t>5.</t>
  </si>
  <si>
    <t>5.1.</t>
  </si>
  <si>
    <t>6.</t>
  </si>
  <si>
    <t>6.1.</t>
  </si>
  <si>
    <t>* План мероприятий, направленных на улучшение качества питьевой воды, организацией не представлен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</si>
  <si>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</si>
  <si>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* План мероприятий по энергосбережению и повышению энергетической эффективности организацией не представлен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</si>
  <si>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</si>
  <si>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</si>
  <si>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общее количество отобранных проб</t>
  </si>
  <si>
    <t>ед.</t>
  </si>
  <si>
    <t>I</t>
  </si>
  <si>
    <t>2.2</t>
  </si>
  <si>
    <t>1</t>
  </si>
  <si>
    <t>2</t>
  </si>
  <si>
    <t>II</t>
  </si>
  <si>
    <t>протяженность водопроводной сети</t>
  </si>
  <si>
    <t>км</t>
  </si>
  <si>
    <t>III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</si>
  <si>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</si>
  <si>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</si>
  <si>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общее количество электрической энергии, потребляемой в технологическом процессе подготовки питьевой воды</t>
  </si>
  <si>
    <t>общий объем питьевой воды, в отношении которой осуществляется водоподготовка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</si>
  <si>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</si>
  <si>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</si>
  <si>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3</t>
  </si>
  <si>
    <t>тыс.куб.м</t>
  </si>
  <si>
    <t>4.2.</t>
  </si>
  <si>
    <t>4.3.</t>
  </si>
  <si>
    <t>5.4.</t>
  </si>
  <si>
    <t>6.2.</t>
  </si>
  <si>
    <t>6.3.</t>
  </si>
  <si>
    <t>Значение показателя</t>
  </si>
  <si>
    <t>тыс.кВт.ч</t>
  </si>
  <si>
    <t>Раздел 1.  Паспорт производственной программы</t>
  </si>
  <si>
    <t>МП ЖКХ Билибинского муниципального района</t>
  </si>
  <si>
    <t>Комитет государственного регулирования цен и тарифов Чукотского автономного округа</t>
  </si>
  <si>
    <t>689450, Чукотский автономный округ, г. Билибино, ул. Геологов д. 1а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</si>
  <si>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</si>
  <si>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</si>
  <si>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</si>
  <si>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</si>
  <si>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</si>
  <si>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</si>
  <si>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№
п/п</t>
  </si>
  <si>
    <t>Наименование</t>
  </si>
  <si>
    <t>план</t>
  </si>
  <si>
    <t>факт</t>
  </si>
  <si>
    <t>год</t>
  </si>
  <si>
    <t>1 полугодие</t>
  </si>
  <si>
    <t>2 полугодие</t>
  </si>
  <si>
    <t>Объем воды из источников водоснабжения:</t>
  </si>
  <si>
    <t>куб.м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</si>
  <si>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</si>
  <si>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</si>
  <si>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</si>
  <si>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</si>
  <si>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</si>
  <si>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</si>
  <si>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</si>
  <si>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</si>
  <si>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</si>
  <si>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Полезный отпуск питьевой воды, всего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</si>
  <si>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</si>
  <si>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</si>
  <si>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</si>
  <si>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</si>
  <si>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</si>
  <si>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</si>
  <si>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</si>
  <si>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</si>
  <si>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</si>
  <si>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</si>
  <si>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</si>
  <si>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</si>
  <si>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</si>
  <si>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</si>
  <si>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</si>
  <si>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</si>
  <si>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</si>
  <si>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</si>
  <si>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</si>
  <si>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</si>
  <si>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</si>
  <si>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</si>
  <si>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 xml:space="preserve">   из поверхностных источников</t>
  </si>
  <si>
    <t>участок Билибино</t>
  </si>
  <si>
    <t>участок Анюйск</t>
  </si>
  <si>
    <t>участок Илирней</t>
  </si>
  <si>
    <t>участок Кепервеем</t>
  </si>
  <si>
    <t>участок Омолон</t>
  </si>
  <si>
    <t>участок Островное</t>
  </si>
  <si>
    <t>Показатели производственной деятельности</t>
  </si>
  <si>
    <t>ФАКТ</t>
  </si>
  <si>
    <t xml:space="preserve">Раздел 2. Баланс водоснабжения (питьевая вода (питьевое водоснабжение)) </t>
  </si>
  <si>
    <t>Расход на технолог. нужды</t>
  </si>
  <si>
    <t>заполнение(промывка) т/сетей</t>
  </si>
  <si>
    <t>Х.в. на подпитку т/с ЦТП -2</t>
  </si>
  <si>
    <t>расход на с/н (холодная вода ТС)</t>
  </si>
  <si>
    <t>(должность)</t>
  </si>
  <si>
    <t>(ФИО, подпись)</t>
  </si>
  <si>
    <t>2019 год</t>
  </si>
  <si>
    <t>2020 год</t>
  </si>
  <si>
    <t>2021 год</t>
  </si>
  <si>
    <t>2022 год</t>
  </si>
  <si>
    <t>2013 год</t>
  </si>
  <si>
    <t>2023 год</t>
  </si>
  <si>
    <t xml:space="preserve">Ремонт участка сетей холодного водоснабжения от ТК-101 до ТК-103 по ул.30 лет Советской Чукотки </t>
  </si>
  <si>
    <t xml:space="preserve">Ремонт участка сетей холодного водоснабжения от ТК-401 до ТК-607 по ул.Мандрикова </t>
  </si>
  <si>
    <t>Ремонт участка сетей холодного водоснабжения от ТК-403 до ТК-406</t>
  </si>
  <si>
    <t>Ремонт участка сетей холодного водоснабжения от ТК-522/1 до узла №3 МКД №1 по ул.Октябрьская</t>
  </si>
  <si>
    <t xml:space="preserve">Ремонт  помещений ВОС-2 по ул.Магаданская,1 </t>
  </si>
  <si>
    <t>1.6.</t>
  </si>
  <si>
    <t xml:space="preserve">Окраска оборудования в помещениях ВОС-2 </t>
  </si>
  <si>
    <t>Ремонт участка сетей холодного водоснабжения</t>
  </si>
  <si>
    <t>1.12.</t>
  </si>
  <si>
    <t>1.13.</t>
  </si>
  <si>
    <t>Ремонт участка сетей холодного водоснабжения от ТК-1 в сторону ТК-65</t>
  </si>
  <si>
    <t>2.5.</t>
  </si>
  <si>
    <t>2.6.</t>
  </si>
  <si>
    <t xml:space="preserve">Ремонт участка сетей холодного водоснабжения от ТК-2 до ТК-79 по ул.Набережная </t>
  </si>
  <si>
    <t xml:space="preserve">Ремонт участка сетей холодного водоснабжения от ТК-1 до ТК-41 </t>
  </si>
  <si>
    <t xml:space="preserve">Ремонт участка сетей холодного водоснабжения от ТК-4 до ТК-17, от ТК-14 до ТК-1  по ул.Лапицкого и Центральная </t>
  </si>
  <si>
    <t xml:space="preserve">Ремонт участка сетей холодного водоснабжения от ТК-65а до ТК-65д </t>
  </si>
  <si>
    <t>4.4.</t>
  </si>
  <si>
    <t xml:space="preserve">Ремонт участка сетей холодного водоснабжения от ТК-80а до ТК-13 </t>
  </si>
  <si>
    <t>4.5.</t>
  </si>
  <si>
    <t>Ремонт участка магистрального Водовода</t>
  </si>
  <si>
    <t>Ремонт участка сетей холодного водоснабжения от ТК-85 до ТК-89 пр.Ручейный</t>
  </si>
  <si>
    <t>3.2. План мероприятий, направленных на улучшение качества питьевой воды*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</si>
  <si>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</si>
  <si>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Раздел 4. Объем финансовых потребностей, необходимых для реализации производственной программы</t>
  </si>
  <si>
    <t>№ 
п/п</t>
  </si>
  <si>
    <t>ПЛАН</t>
  </si>
  <si>
    <t>Отклонение 
(- не использовано, + перерасход)</t>
  </si>
  <si>
    <t>Причины отклонения</t>
  </si>
  <si>
    <t>Раздел 5. Плановые показатели надежности, качества, энергетической эффективности объектов централизованных систем холодного водоснабжения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</si>
  <si>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</si>
  <si>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</si>
  <si>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 xml:space="preserve">Отклонение </t>
  </si>
  <si>
    <t>Отклонение</t>
  </si>
  <si>
    <t>Фактические затраты при выполнении работ по договорам ГПХ (при планировании работ была учтена сметная стоимость материалов)</t>
  </si>
  <si>
    <t>Ремонт участка сетей холодного водоснабжения от ТК-1 до ТК-53а с.Кепервеем</t>
  </si>
  <si>
    <t>Ремонт участка сетей  холодного водоснабжения от ТК-72 до угла МКД №1 пр.Ручейный с.Островное</t>
  </si>
  <si>
    <t>Наладка химической очистки воды на ВОС</t>
  </si>
  <si>
    <t>Паводковый период</t>
  </si>
  <si>
    <t>Производственный контроль остаточного хлора, выполнен в меньшем обьеме в связи с укороченным периодом хлорирования воды.</t>
  </si>
  <si>
    <t>Пробы отобранны в связи с проверкой прокуратуры</t>
  </si>
  <si>
    <t>Отсутствие одной доставки проб в связи с затрудненной транспортной схемой</t>
  </si>
  <si>
    <t>по результатам инвентаризации</t>
  </si>
  <si>
    <t>В 2019 году ВПУ-12 в неполном объеме осуществлялся процес водоподготовки, в зависимости от качества воды</t>
  </si>
  <si>
    <t>Проложен отдельный трубопровод ХВС до водоочистной станции для подпитки тепловой сети котельной №1</t>
  </si>
  <si>
    <t>Запуск насоса на ВОС - 2 планировалось в течение 3 летних месяцев, но в связи с недостаточным напором ХВС в 2019 году насос запускался с сентября по декабрь</t>
  </si>
  <si>
    <t xml:space="preserve">В связи с жалобами населения на напор воды, в сентябре 2019 года произведена замена насосов на более мощные и установлен дополнительный насос на водопроводных сетях. </t>
  </si>
  <si>
    <t>По факту за 2018 год расход эл.энергии составил 58,6 тыс. кВт*ч.</t>
  </si>
  <si>
    <t>По факту за 2018 год расход эл.энергии составил 27,132 тыс. кВт*ч. В 2018 году в пожводоемном здании установлен подкачивающий насос на водопроводных сетях.</t>
  </si>
  <si>
    <t>Запуск в работу насосной станции второго подъема, вывод из эксплуатации водонапорной башни</t>
  </si>
  <si>
    <t>Капитальный ремонт участка магистрального Водовода с.Омолон</t>
  </si>
  <si>
    <t>Выполнение работ перенесено на 2020 год</t>
  </si>
  <si>
    <t>Ремонтные работы не были выполнены в связи с поздней доставкой материалов.</t>
  </si>
  <si>
    <t>Ремонтные работы не выполнены по причине отсутствия подрядчика. Был объявлен конкурс, ни одной заявки не поступило.</t>
  </si>
  <si>
    <t>Выполнение работ перенесено на 2020 год, поздно были доставлены материалы (краска) в г. Билибино</t>
  </si>
  <si>
    <t>Работы не  выполнены по причине отсутствия подрядчиков с необходимой квалификацей и допуском к указанным работам, выданным СРО. При планировании ремонтных работ на 2020 год не учтены, т.к. включены более приоритетные объекты по участку.</t>
  </si>
  <si>
    <t>Выполнение работ перенесено на 2020 год.</t>
  </si>
  <si>
    <t>Ремонтные работы не были выполнены в связи с поздней доставкой материалов. При планировании ремонтных работ на 2020 год, включены более приоритетные объекты по участку.</t>
  </si>
  <si>
    <t>Увеличение количества проб объясняется ужесточением производственного контроля в связи с увеличением периода  хим. очистки воды (планировалось только в паводковый период), и внеплановыми проверками (прокуратура)</t>
  </si>
  <si>
    <t>Проведение хим. очитски воды в течение года (планировалось только в паводковый период)</t>
  </si>
  <si>
    <t>Увеличение количества проб объясняется ужесточением производственного контроля, в внеплановыми проверками (прокуратура)</t>
  </si>
  <si>
    <t>Увеличение пролива воды для достижения качества воды в соответствие с требованиями СанПиН в МКД, не оборудованных коллективными приборами учета</t>
  </si>
  <si>
    <t>198 проб - контроль остаточного хлора</t>
  </si>
  <si>
    <t>В 2020 году ВПУ-12 в неполном объеме осуществлялся процес водоподготовки, в зависимости от качества воды</t>
  </si>
  <si>
    <t>Устройство выгреба ВОС-2</t>
  </si>
  <si>
    <t>Ремонт участка сетей холодного водоснабжения от ТК-41 до переезда дороги с. Кепервеем</t>
  </si>
  <si>
    <t>Увеличение количества проб объясняется ужесточением производственного контроля, в связи с реагентной обработкой воды.</t>
  </si>
  <si>
    <t>Дополнительный мониторинг в паводковый период</t>
  </si>
  <si>
    <t>Дополнительный мониторинг в паводковый период, мониторинг дополнительной точки распределительной сети</t>
  </si>
  <si>
    <t>Производственный контроль</t>
  </si>
  <si>
    <t>Уменьшение количества проб объясняется : исключением анализа на определение фторидов, т.к. фторирирование воды  не производилось.</t>
  </si>
  <si>
    <t>В связи с недостаточным напором ХВС в 2020 году насос на ВОС-2  запускался с января по декабрь включительно.</t>
  </si>
  <si>
    <t xml:space="preserve">В связи с жалобами населения на напор воды,  произведена замена насосов на более мощные и установлен дополнительный насос на водопроводных сетях. </t>
  </si>
  <si>
    <t xml:space="preserve">В 2018 году в пожводоемном здании установлен подкачивающий насос на водопроводных сетях.По факту за 2019 год расход эл.энергии составил 13,5 тыс. кВт*ч. </t>
  </si>
  <si>
    <t>Капитальный ремонт участка сетей ХВС от ТК-12 до ТК-19, ул. Первомайская</t>
  </si>
  <si>
    <t>Капитальный ремонт трубопровода ХВС от ТК-67 до ТК-80</t>
  </si>
  <si>
    <t xml:space="preserve">Теплоизоляционные работы трубопровода ХВС от ТК-2 до ТК-71 ул. 50 лет Советской Власти </t>
  </si>
  <si>
    <t xml:space="preserve">Теплоизоляционные работы трубопровода ХВС от ТК-12 до ТК-31 ул. Гагарина </t>
  </si>
  <si>
    <t>Раздел 3. Перечень плановых мероприятий по ремонту объектов централизованных систем 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</si>
  <si>
    <t>3.1. План мероприятий по ремонту объектов централизованных систем холодного водоснабжения</t>
  </si>
  <si>
    <r>
      <t xml:space="preserve">доля проб питьевой воды, подаваемой </t>
    </r>
    <r>
      <rPr>
        <b/>
        <sz val="12"/>
        <rFont val="Times New Roman"/>
        <family val="1"/>
        <charset val="204"/>
      </rPr>
      <t>с источников водоснабжения</t>
    </r>
    <r>
      <rPr>
        <sz val="12"/>
        <rFont val="Times New Roman"/>
        <family val="1"/>
        <charset val="204"/>
      </rPr>
      <t>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  </r>
  </si>
  <si>
    <r>
      <t xml:space="preserve">количество проб питьевой воды </t>
    </r>
    <r>
      <rPr>
        <b/>
        <sz val="12"/>
        <rFont val="Times New Roman"/>
        <family val="1"/>
        <charset val="204"/>
      </rPr>
      <t>в распределительной водопроводной сети,</t>
    </r>
    <r>
      <rPr>
        <sz val="12"/>
        <rFont val="Times New Roman"/>
        <family val="1"/>
        <charset val="204"/>
      </rPr>
      <t xml:space="preserve"> отобранных по результатам производственного контроля качества питьевой воды, не соответствующих установленным требованиям</t>
    </r>
  </si>
  <si>
    <t>1. Фактические затраты при выполнении работ по договорам ГПХ (при планировании работ была учтена сметная стоимость материалов).                               2. В связи с отсутствием достаточного объема материалов работы по ремонту участка сетей холодного водоснабжения перенесены на 2021 г. (план рем. работ прилагается).</t>
  </si>
  <si>
    <t xml:space="preserve">Ремонтные работы на сетях холодного водоснабжения не выполнены по причине отсутствия подрядчика. </t>
  </si>
  <si>
    <t>Фактические затраты при выполнении работ по договорам ГПХ (при планировании работ была учтена сметная стоимость материалов).</t>
  </si>
  <si>
    <t>1. Фактические затраты при выполнении работ по договорам ГПХ (при планировании работ была учтена сметная стоимость материалов).                           2. В связи с поздней доставкой материалов работы по "кап. ремонту участка сетей холодного водоснабжения от ТВК-19 до здания пожводоема" перенесены на 2021 г. (план рем. работ прилагается).</t>
  </si>
  <si>
    <t>Руководитель организации</t>
  </si>
  <si>
    <t>___С.И. Брычаев___</t>
  </si>
  <si>
    <t>в сфере водоснабжения (питьевое водоснабжение) за 2029-2021 годы</t>
  </si>
  <si>
    <t>Ремонт участка сетей горячего и холодного водоснабжения от ТК-403 до ТК-406</t>
  </si>
  <si>
    <t>Ремонт участка сетей холодного водоснабжения от ТК-603 до ТК-607</t>
  </si>
  <si>
    <t xml:space="preserve">Ремонт участка сетей горячего и холодного водоснабжения от ТК-101 до ТК-103 </t>
  </si>
  <si>
    <t>Комплексное обследование технического состояния водовода и его несущих конструкций</t>
  </si>
  <si>
    <t>Технический аудит водоподготовительной установки ВПУ-БМ-12 в соответствии с тех. заданием</t>
  </si>
  <si>
    <t>3.2.</t>
  </si>
  <si>
    <t>Комплексное техническое обследование, проведение технической инвентаризации и паспортизации водопроводных сетей</t>
  </si>
  <si>
    <t>2.3.</t>
  </si>
  <si>
    <t>Причины недовыполнения плана ремонтных работ аналогичны причинам, указанным по участку Билибино.</t>
  </si>
  <si>
    <t>Исполнение решения Билибинского районного суда</t>
  </si>
  <si>
    <t>Капитальный ремонт участка сетей холодного водоснабжения от ТВК-19 до  здания пожводоема</t>
  </si>
  <si>
    <t>Недовыполнение плана ремонтных работ объясняется отсутствием необходимых материально-технических ресурсов (далее МТР) на складах МП ЖКХ Билибинского муниципального района в связи с несвоевременной поставкой МТР на по причине неблагоприятной обстановки с навигацией по реке Колыма и загруженностью портов г.Архангельска и г.Владивостока, а также, выполнением части работ по договорам подряда с физическими лицами и хозяйственным способом.  Мероприятия предусмотрены планом мероприятий по подготовке объектов ЖКХ, социальной сферы Билибинского муниципального района к эксплуатации в осенне-зимний приод 2021-2022 годов</t>
  </si>
  <si>
    <t>Ремонтые работы выполнены по договорам подряда с физическими лицами. При планировании работ была учтена сметная стоимость материалов и накладные расходы. Мероприятия предусмотрены планом мероприятий по подготовке объектов ЖКХ, социальной сферы Билибинского муниципального района к эксплуатации в осенне-зимний приод 2021-2022 годов</t>
  </si>
  <si>
    <t xml:space="preserve">Капитальный ремонт участка тепловой сети и холодного водоснабжения от ТК 40 до МКД по ул. Черепова 8Б  </t>
  </si>
  <si>
    <t xml:space="preserve">Капитальный ремонт участка магистрального водовода и тепловой сети, проложенных совместно </t>
  </si>
  <si>
    <t>5.2.</t>
  </si>
  <si>
    <t>5.3.</t>
  </si>
  <si>
    <t>В связи с необходимостью приведения в соотвествие технической документации, необходимой при прохождении экспертизы локальных сметных расчетов, проведены мероприятия по обледованию сетей водоснабжения с привлечением сторонней организации. Исполнение решения Билибинского районного суда</t>
  </si>
  <si>
    <t>Ремонтые работы выполнены по договорам подряда с физическими лицами. При планировании работ была учтена сметная стоимость материалов и накладные расходы.  Мероприятия предусмотрены планом мероприятий по подготовке объектов ЖКХ, социальной сферы Билибинского муниципального района к эксплуатации в осенне-зимний приод 2021-2022 годов</t>
  </si>
  <si>
    <t>высокий процент износа водопроводных сетей</t>
  </si>
  <si>
    <t>увеличена продолжительность промывок фильтров в связи с уплотнением загрузки при достижении сроков её замены</t>
  </si>
  <si>
    <t xml:space="preserve">В связи с жалобами населения на напор воды,   установлен дополнительный насос на водопроводных сетях. </t>
  </si>
  <si>
    <t xml:space="preserve">В 2018 году в пожводоемном здании установлен подкачивающий насос на водопроводных сетях. По факту за 2021 год расход эл.энергии на работу подкачивающего насоса составил 7,792 тыс. кВт*ч. </t>
  </si>
  <si>
    <t>РСГ: изготовление обшивки для колодцев</t>
  </si>
  <si>
    <t>Текущий ремонт системы холодного водоснабжения ул. Набережная 22</t>
  </si>
  <si>
    <t>РСГ: мелкий ремонт здания насосной станции</t>
  </si>
  <si>
    <t>Ремонт участка сетей холодного водоснабжения от ТК-20 до ТК-21, протяженностью 32,3 мп с.Анюйск</t>
  </si>
  <si>
    <t>Ремонт участков сети водовода</t>
  </si>
  <si>
    <t>Капитальный ремонт трубопровода ХВС от ТК-62 до ТК-71</t>
  </si>
  <si>
    <t xml:space="preserve">Капитальный ремонт участка сети водовода и тепловых сетей </t>
  </si>
  <si>
    <t>Капитальный ремонт участка сетей холодного и горячего водоснабжения от ТК-401 до ТК-607 по ул.Мандрикова</t>
  </si>
  <si>
    <t xml:space="preserve">Капитальный ремонт участка сетей холодного и горячего водоснабжения от ТК-101 до ТК-103 по ул.30 лет Советской Чукотки </t>
  </si>
  <si>
    <t xml:space="preserve">Капитальный ремонт участка тепловых сетей, холодного и горячего водоснабжения от ТК-308 до ТК-310/1 </t>
  </si>
  <si>
    <t>Капитальный ремонт участка сетей теплоснабжения и холодного водоснабжения от котельной №1 до 2-го компенсатора в сторону ДК</t>
  </si>
  <si>
    <t>Ремонт участка сетей холодного водоснабжения от ТК-22 до ТК-24 по ул.Набережная</t>
  </si>
  <si>
    <t xml:space="preserve">Капитальный ремонт участка тепловых сетей и холодного водоснабжения от ТК-2 до ТК-79 </t>
  </si>
  <si>
    <t xml:space="preserve">Капитальный ремонт участка сетей холодного водоснабжения от ТК-41 до переезда дороги </t>
  </si>
  <si>
    <t>Капитальный ремонт участка сетей холодного водоснабжения от ТК-80а до ТК-13</t>
  </si>
  <si>
    <t>Капитальный ремонт участка водовода, проложенный совместно с тепловой сетью (тепло для насосной водозаборной скважины)</t>
  </si>
  <si>
    <t>Мероприятия по предотвращению нагревания холодной воды в трубопроводе ТК-2 до ТК-12</t>
  </si>
  <si>
    <t>6.4.</t>
  </si>
  <si>
    <t>6.5.</t>
  </si>
  <si>
    <t>Мероприятие выполнено на основании представления Прокуратуры от 24.07.2019 г. № 7-1025в-2019</t>
  </si>
  <si>
    <t>Технический аудит проведен в связи с выходом из строя 2-й ступени очистки, так как,  силами своих специалистов не смогли определить самостоятельно причины поломки и перечень необходимых материалов.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</si>
</sst>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\ &quot;р.&quot;;[Red]\-#,##0\ &quot;р.&quot;"/>
    <numFmt numFmtId="165" formatCode="_-* #,##0\ &quot;р.&quot;_-;\-* #,##0\ &quot;р.&quot;_-;_-* &quot;-&quot;\ &quot;р.&quot;_-;_-@_-"/>
    <numFmt numFmtId="166" formatCode="_-* #,##0\ _р_._-;\-* #,##0\ _р_._-;_-* &quot;-&quot;\ _р_._-;_-@_-"/>
    <numFmt numFmtId="167" formatCode="_-* #,##0.00\ _р_._-;\-* #,##0.00\ _р_._-;_-* &quot;-&quot;??\ _р_._-;_-@_-"/>
    <numFmt numFmtId="168" formatCode="_-* #,##0.00_р_._-;\-* #,##0.00_р_._-;_-* &quot;-&quot;??_р_._-;_-@_-"/>
    <numFmt numFmtId="169" formatCode="0.0"/>
    <numFmt numFmtId="170" formatCode="#,##0.0"/>
    <numFmt numFmtId="171" formatCode="0.000"/>
    <numFmt numFmtId="172" formatCode="#,##0.000"/>
    <numFmt numFmtId="173" formatCode="#,##0\ &quot;d.&quot;;[Red]\-#,##0\ &quot;d.&quot;"/>
    <numFmt numFmtId="174" formatCode="#,##0.00\ &quot;d.&quot;;[Red]\-#,##0.00\ &quot;d.&quot;"/>
    <numFmt numFmtId="175" formatCode="#,##0.00\ &quot;đ.&quot;;[Red]\-#,##0.00\ &quot;đ.&quot;"/>
    <numFmt numFmtId="176" formatCode="_-* #,##0\ _đ_._-;\-* #,##0\ _đ_._-;_-* &quot;-&quot;\ _đ_._-;_-@_-"/>
    <numFmt numFmtId="177" formatCode="_-* #,##0.00\ _đ_._-;\-* #,##0.00\ _đ_._-;_-* &quot;-&quot;??\ _đ_._-;_-@_-"/>
    <numFmt numFmtId="178" formatCode="0.0000"/>
  </numFmts>
  <fonts count="40" x14ac:knownFonts="1">
    <font>
      <sz val="10"/>
      <name val="Arial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sz val="8"/>
      <name val="Arial Cyr"/>
      <charset val="204"/>
    </font>
    <font>
      <u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indexed="12"/>
      <name val="Times New Roman"/>
      <family val="1"/>
      <charset val="204"/>
    </font>
    <font>
      <sz val="10"/>
      <color indexed="12"/>
      <name val="Helv"/>
      <charset val="204"/>
    </font>
    <font>
      <sz val="12"/>
      <color indexed="10"/>
      <name val="Times New Roman"/>
      <family val="1"/>
      <charset val="204"/>
    </font>
    <font>
      <b/>
      <sz val="10"/>
      <name val="Helv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0">
    <xf numFmtId="0" fontId="0" fillId="0" borderId="0"/>
    <xf numFmtId="0" fontId="6" fillId="0" borderId="0"/>
    <xf numFmtId="165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20" fillId="0" borderId="0"/>
    <xf numFmtId="0" fontId="7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" fillId="0" borderId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675">
    <xf numFmtId="0" fontId="0" fillId="0" borderId="0" xfId="0"/>
    <xf numFmtId="0" fontId="4" fillId="0" borderId="1" xfId="20" applyFont="1" applyBorder="1" applyAlignment="1">
      <alignment horizontal="left" vertical="center" wrapText="1"/>
    </xf>
    <xf numFmtId="0" fontId="6" fillId="0" borderId="0" xfId="0" applyFont="1" applyFill="1" applyBorder="1"/>
    <xf numFmtId="169" fontId="6" fillId="0" borderId="0" xfId="0" applyNumberFormat="1" applyFont="1" applyFill="1" applyBorder="1"/>
    <xf numFmtId="0" fontId="8" fillId="0" borderId="0" xfId="30" applyFont="1"/>
    <xf numFmtId="0" fontId="13" fillId="0" borderId="0" xfId="30" applyFont="1"/>
    <xf numFmtId="0" fontId="8" fillId="0" borderId="1" xfId="30" applyFont="1" applyBorder="1" applyAlignment="1">
      <alignment horizontal="left" vertical="center" wrapText="1"/>
    </xf>
    <xf numFmtId="0" fontId="8" fillId="0" borderId="0" xfId="30" applyFont="1" applyBorder="1" applyAlignment="1">
      <alignment horizontal="left" vertical="center" wrapText="1"/>
    </xf>
    <xf numFmtId="0" fontId="4" fillId="0" borderId="0" xfId="20" applyFont="1" applyBorder="1" applyAlignment="1">
      <alignment horizontal="left" vertical="center"/>
    </xf>
    <xf numFmtId="0" fontId="10" fillId="0" borderId="0" xfId="30" applyFont="1"/>
    <xf numFmtId="0" fontId="4" fillId="0" borderId="0" xfId="20" applyFont="1" applyBorder="1" applyAlignment="1">
      <alignment horizontal="left"/>
    </xf>
    <xf numFmtId="0" fontId="10" fillId="0" borderId="0" xfId="30" applyFont="1" applyBorder="1" applyAlignment="1">
      <alignment horizontal="left"/>
    </xf>
    <xf numFmtId="0" fontId="4" fillId="0" borderId="1" xfId="20" applyFont="1" applyBorder="1" applyAlignment="1">
      <alignment horizontal="left" vertical="center"/>
    </xf>
    <xf numFmtId="0" fontId="4" fillId="0" borderId="1" xfId="20" applyFont="1" applyFill="1" applyBorder="1" applyAlignment="1">
      <alignment horizontal="center" vertical="center" wrapText="1"/>
    </xf>
    <xf numFmtId="0" fontId="8" fillId="0" borderId="0" xfId="30" applyFont="1" applyAlignment="1">
      <alignment horizontal="center"/>
    </xf>
    <xf numFmtId="0" fontId="5" fillId="0" borderId="8" xfId="20" applyFont="1" applyFill="1" applyBorder="1" applyAlignment="1">
      <alignment vertical="center"/>
    </xf>
    <xf numFmtId="0" fontId="5" fillId="0" borderId="0" xfId="20" applyFont="1" applyFill="1" applyBorder="1" applyAlignment="1">
      <alignment vertical="center"/>
    </xf>
    <xf numFmtId="0" fontId="14" fillId="0" borderId="0" xfId="20" applyFont="1" applyFill="1"/>
    <xf numFmtId="0" fontId="16" fillId="0" borderId="0" xfId="20" applyFont="1" applyFill="1" applyAlignment="1">
      <alignment vertical="top"/>
    </xf>
    <xf numFmtId="0" fontId="15" fillId="0" borderId="1" xfId="20" applyFont="1" applyFill="1" applyBorder="1" applyAlignment="1">
      <alignment horizontal="center" vertical="center" wrapText="1"/>
    </xf>
    <xf numFmtId="0" fontId="2" fillId="0" borderId="0" xfId="20" applyFont="1" applyFill="1" applyAlignment="1">
      <alignment vertical="center"/>
    </xf>
    <xf numFmtId="49" fontId="17" fillId="0" borderId="10" xfId="20" applyNumberFormat="1" applyFont="1" applyFill="1" applyBorder="1" applyAlignment="1">
      <alignment horizontal="center" vertical="center" wrapText="1"/>
    </xf>
    <xf numFmtId="49" fontId="15" fillId="0" borderId="15" xfId="20" applyNumberFormat="1" applyFont="1" applyFill="1" applyBorder="1" applyAlignment="1">
      <alignment horizontal="center" vertical="center" wrapText="1"/>
    </xf>
    <xf numFmtId="49" fontId="15" fillId="0" borderId="18" xfId="20" applyNumberFormat="1" applyFont="1" applyFill="1" applyBorder="1" applyAlignment="1">
      <alignment horizontal="center" vertical="center" wrapText="1"/>
    </xf>
    <xf numFmtId="49" fontId="17" fillId="0" borderId="18" xfId="20" applyNumberFormat="1" applyFont="1" applyFill="1" applyBorder="1" applyAlignment="1">
      <alignment horizontal="center" vertical="center" wrapText="1"/>
    </xf>
    <xf numFmtId="0" fontId="16" fillId="0" borderId="0" xfId="20" applyFont="1" applyFill="1" applyAlignment="1">
      <alignment vertical="center"/>
    </xf>
    <xf numFmtId="49" fontId="15" fillId="0" borderId="23" xfId="20" applyNumberFormat="1" applyFont="1" applyFill="1" applyBorder="1" applyAlignment="1">
      <alignment horizontal="center" vertical="center" wrapText="1"/>
    </xf>
    <xf numFmtId="171" fontId="17" fillId="0" borderId="18" xfId="20" applyNumberFormat="1" applyFont="1" applyFill="1" applyBorder="1" applyAlignment="1">
      <alignment horizontal="center" vertical="center" wrapText="1"/>
    </xf>
    <xf numFmtId="171" fontId="16" fillId="0" borderId="0" xfId="20" applyNumberFormat="1" applyFont="1" applyFill="1" applyAlignment="1">
      <alignment vertical="center"/>
    </xf>
    <xf numFmtId="49" fontId="17" fillId="0" borderId="23" xfId="20" applyNumberFormat="1" applyFont="1" applyFill="1" applyBorder="1" applyAlignment="1">
      <alignment horizontal="center" vertical="center" wrapText="1"/>
    </xf>
    <xf numFmtId="49" fontId="17" fillId="0" borderId="15" xfId="20" applyNumberFormat="1" applyFont="1" applyFill="1" applyBorder="1" applyAlignment="1">
      <alignment horizontal="center" vertical="center" wrapText="1"/>
    </xf>
    <xf numFmtId="49" fontId="15" fillId="0" borderId="6" xfId="20" applyNumberFormat="1" applyFont="1" applyFill="1" applyBorder="1" applyAlignment="1">
      <alignment horizontal="center" vertical="center" wrapText="1"/>
    </xf>
    <xf numFmtId="0" fontId="2" fillId="0" borderId="0" xfId="20" applyFont="1" applyFill="1"/>
    <xf numFmtId="0" fontId="17" fillId="0" borderId="1" xfId="20" applyFont="1" applyFill="1" applyBorder="1" applyAlignment="1">
      <alignment horizontal="left" vertical="center" wrapText="1" indent="1"/>
    </xf>
    <xf numFmtId="0" fontId="2" fillId="0" borderId="1" xfId="20" applyFont="1" applyFill="1" applyBorder="1"/>
    <xf numFmtId="0" fontId="2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4" fillId="0" borderId="38" xfId="20" applyFont="1" applyFill="1" applyBorder="1"/>
    <xf numFmtId="0" fontId="16" fillId="0" borderId="38" xfId="20" applyFont="1" applyFill="1" applyBorder="1" applyAlignment="1">
      <alignment vertical="top"/>
    </xf>
    <xf numFmtId="0" fontId="2" fillId="0" borderId="38" xfId="20" applyFont="1" applyFill="1" applyBorder="1" applyAlignment="1">
      <alignment vertical="center"/>
    </xf>
    <xf numFmtId="0" fontId="16" fillId="0" borderId="38" xfId="20" applyFont="1" applyFill="1" applyBorder="1" applyAlignment="1">
      <alignment vertical="center"/>
    </xf>
    <xf numFmtId="171" fontId="16" fillId="0" borderId="38" xfId="20" applyNumberFormat="1" applyFont="1" applyFill="1" applyBorder="1" applyAlignment="1">
      <alignment vertical="center"/>
    </xf>
    <xf numFmtId="0" fontId="9" fillId="0" borderId="0" xfId="19" applyFont="1"/>
    <xf numFmtId="0" fontId="4" fillId="0" borderId="0" xfId="20" applyFont="1" applyBorder="1" applyAlignment="1"/>
    <xf numFmtId="0" fontId="4" fillId="0" borderId="0" xfId="20" applyFont="1" applyBorder="1" applyAlignment="1">
      <alignment horizontal="center"/>
    </xf>
    <xf numFmtId="0" fontId="4" fillId="0" borderId="0" xfId="20" applyFont="1" applyBorder="1"/>
    <xf numFmtId="0" fontId="4" fillId="0" borderId="1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49" fontId="4" fillId="0" borderId="18" xfId="19" applyNumberFormat="1" applyFont="1" applyFill="1" applyBorder="1" applyAlignment="1">
      <alignment horizontal="center" vertical="center" wrapText="1"/>
    </xf>
    <xf numFmtId="2" fontId="4" fillId="0" borderId="18" xfId="19" applyNumberFormat="1" applyFont="1" applyFill="1" applyBorder="1" applyAlignment="1">
      <alignment horizontal="left" vertical="center" wrapText="1"/>
    </xf>
    <xf numFmtId="0" fontId="8" fillId="0" borderId="18" xfId="19" applyFont="1" applyFill="1" applyBorder="1" applyAlignment="1">
      <alignment horizontal="center"/>
    </xf>
    <xf numFmtId="169" fontId="8" fillId="0" borderId="18" xfId="19" applyNumberFormat="1" applyFont="1" applyFill="1" applyBorder="1" applyAlignment="1">
      <alignment horizontal="center"/>
    </xf>
    <xf numFmtId="49" fontId="4" fillId="0" borderId="31" xfId="19" applyNumberFormat="1" applyFont="1" applyFill="1" applyBorder="1" applyAlignment="1">
      <alignment horizontal="center" vertical="center" wrapText="1"/>
    </xf>
    <xf numFmtId="2" fontId="4" fillId="0" borderId="31" xfId="19" applyNumberFormat="1" applyFont="1" applyFill="1" applyBorder="1" applyAlignment="1">
      <alignment horizontal="left" vertical="center" wrapText="1"/>
    </xf>
    <xf numFmtId="0" fontId="8" fillId="0" borderId="31" xfId="19" applyFont="1" applyFill="1" applyBorder="1" applyAlignment="1">
      <alignment horizontal="center"/>
    </xf>
    <xf numFmtId="169" fontId="8" fillId="0" borderId="31" xfId="19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9" fillId="0" borderId="38" xfId="19" applyFont="1" applyBorder="1"/>
    <xf numFmtId="0" fontId="24" fillId="0" borderId="0" xfId="20" applyFont="1" applyFill="1"/>
    <xf numFmtId="0" fontId="24" fillId="0" borderId="1" xfId="20" applyFont="1" applyFill="1" applyBorder="1"/>
    <xf numFmtId="0" fontId="24" fillId="0" borderId="1" xfId="0" applyFont="1" applyFill="1" applyBorder="1" applyAlignment="1">
      <alignment vertical="center"/>
    </xf>
    <xf numFmtId="171" fontId="25" fillId="0" borderId="1" xfId="0" applyNumberFormat="1" applyFont="1" applyFill="1" applyBorder="1" applyAlignment="1">
      <alignment vertical="center"/>
    </xf>
    <xf numFmtId="170" fontId="24" fillId="0" borderId="0" xfId="20" applyNumberFormat="1" applyFont="1" applyFill="1"/>
    <xf numFmtId="0" fontId="26" fillId="0" borderId="8" xfId="20" applyFont="1" applyFill="1" applyBorder="1" applyAlignment="1">
      <alignment vertical="center"/>
    </xf>
    <xf numFmtId="0" fontId="26" fillId="0" borderId="0" xfId="20" applyFont="1" applyFill="1" applyBorder="1" applyAlignment="1">
      <alignment vertical="center"/>
    </xf>
    <xf numFmtId="170" fontId="8" fillId="0" borderId="18" xfId="19" applyNumberFormat="1" applyFont="1" applyFill="1" applyBorder="1" applyAlignment="1">
      <alignment horizontal="center"/>
    </xf>
    <xf numFmtId="170" fontId="8" fillId="0" borderId="31" xfId="19" applyNumberFormat="1" applyFont="1" applyFill="1" applyBorder="1" applyAlignment="1">
      <alignment horizontal="center"/>
    </xf>
    <xf numFmtId="0" fontId="22" fillId="0" borderId="0" xfId="30" applyFont="1" applyBorder="1" applyAlignment="1">
      <alignment horizontal="center"/>
    </xf>
    <xf numFmtId="170" fontId="9" fillId="0" borderId="0" xfId="19" applyNumberFormat="1" applyFont="1" applyAlignment="1">
      <alignment horizontal="center"/>
    </xf>
    <xf numFmtId="0" fontId="4" fillId="0" borderId="36" xfId="20" applyFont="1" applyBorder="1" applyAlignment="1">
      <alignment vertical="center" wrapText="1"/>
    </xf>
    <xf numFmtId="0" fontId="4" fillId="0" borderId="37" xfId="20" applyFont="1" applyBorder="1" applyAlignment="1">
      <alignment vertical="center" wrapText="1"/>
    </xf>
    <xf numFmtId="0" fontId="24" fillId="0" borderId="0" xfId="20" applyFont="1" applyFill="1" applyAlignment="1">
      <alignment horizontal="center"/>
    </xf>
    <xf numFmtId="0" fontId="2" fillId="0" borderId="0" xfId="20" applyFont="1" applyFill="1" applyAlignment="1">
      <alignment horizontal="center"/>
    </xf>
    <xf numFmtId="0" fontId="6" fillId="0" borderId="0" xfId="0" applyFont="1" applyFill="1"/>
    <xf numFmtId="0" fontId="30" fillId="0" borderId="0" xfId="0" applyFont="1" applyFill="1"/>
    <xf numFmtId="0" fontId="8" fillId="0" borderId="0" xfId="0" applyFont="1"/>
    <xf numFmtId="0" fontId="8" fillId="0" borderId="0" xfId="19" applyFont="1"/>
    <xf numFmtId="0" fontId="10" fillId="0" borderId="0" xfId="19" applyFont="1"/>
    <xf numFmtId="0" fontId="29" fillId="0" borderId="0" xfId="19" applyFont="1"/>
    <xf numFmtId="170" fontId="4" fillId="0" borderId="18" xfId="19" applyNumberFormat="1" applyFont="1" applyFill="1" applyBorder="1" applyAlignment="1">
      <alignment horizontal="center"/>
    </xf>
    <xf numFmtId="170" fontId="4" fillId="0" borderId="31" xfId="19" applyNumberFormat="1" applyFont="1" applyFill="1" applyBorder="1" applyAlignment="1">
      <alignment horizontal="center"/>
    </xf>
    <xf numFmtId="170" fontId="33" fillId="0" borderId="18" xfId="20" applyNumberFormat="1" applyFont="1" applyFill="1" applyBorder="1" applyAlignment="1">
      <alignment horizontal="center" vertical="center" wrapText="1"/>
    </xf>
    <xf numFmtId="170" fontId="34" fillId="0" borderId="38" xfId="20" applyNumberFormat="1" applyFont="1" applyFill="1" applyBorder="1" applyAlignment="1">
      <alignment vertical="center"/>
    </xf>
    <xf numFmtId="170" fontId="34" fillId="0" borderId="0" xfId="20" applyNumberFormat="1" applyFont="1" applyFill="1" applyAlignment="1">
      <alignment vertical="center"/>
    </xf>
    <xf numFmtId="4" fontId="8" fillId="0" borderId="0" xfId="19" applyNumberFormat="1" applyFont="1"/>
    <xf numFmtId="4" fontId="10" fillId="0" borderId="0" xfId="19" applyNumberFormat="1" applyFont="1"/>
    <xf numFmtId="170" fontId="10" fillId="0" borderId="0" xfId="19" applyNumberFormat="1" applyFont="1" applyAlignment="1">
      <alignment horizontal="left"/>
    </xf>
    <xf numFmtId="170" fontId="8" fillId="0" borderId="0" xfId="19" applyNumberFormat="1" applyFont="1"/>
    <xf numFmtId="170" fontId="10" fillId="0" borderId="0" xfId="19" applyNumberFormat="1" applyFont="1"/>
    <xf numFmtId="0" fontId="9" fillId="0" borderId="0" xfId="0" applyFont="1" applyFill="1"/>
    <xf numFmtId="0" fontId="6" fillId="0" borderId="38" xfId="0" applyFont="1" applyFill="1" applyBorder="1"/>
    <xf numFmtId="0" fontId="32" fillId="0" borderId="38" xfId="0" applyFont="1" applyFill="1" applyBorder="1"/>
    <xf numFmtId="0" fontId="32" fillId="0" borderId="0" xfId="0" applyFont="1" applyFill="1" applyBorder="1"/>
    <xf numFmtId="0" fontId="32" fillId="0" borderId="0" xfId="0" applyFont="1" applyFill="1"/>
    <xf numFmtId="0" fontId="11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/>
    <xf numFmtId="0" fontId="6" fillId="0" borderId="27" xfId="0" applyFont="1" applyFill="1" applyBorder="1"/>
    <xf numFmtId="49" fontId="8" fillId="0" borderId="45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48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/>
    <xf numFmtId="0" fontId="10" fillId="0" borderId="9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71" fontId="2" fillId="0" borderId="0" xfId="20" applyNumberFormat="1" applyFont="1" applyFill="1"/>
    <xf numFmtId="0" fontId="4" fillId="2" borderId="36" xfId="20" applyFont="1" applyFill="1" applyBorder="1" applyAlignment="1">
      <alignment vertical="center"/>
    </xf>
    <xf numFmtId="0" fontId="4" fillId="2" borderId="37" xfId="20" applyFont="1" applyFill="1" applyBorder="1" applyAlignment="1">
      <alignment vertical="center"/>
    </xf>
    <xf numFmtId="0" fontId="15" fillId="2" borderId="1" xfId="20" applyFont="1" applyFill="1" applyBorder="1" applyAlignment="1">
      <alignment horizontal="center" vertical="center" wrapText="1"/>
    </xf>
    <xf numFmtId="172" fontId="15" fillId="2" borderId="1" xfId="20" applyNumberFormat="1" applyFont="1" applyFill="1" applyBorder="1" applyAlignment="1">
      <alignment horizontal="center" vertical="center" wrapText="1"/>
    </xf>
    <xf numFmtId="0" fontId="15" fillId="2" borderId="9" xfId="20" applyFont="1" applyFill="1" applyBorder="1" applyAlignment="1">
      <alignment horizontal="center" vertical="center" wrapText="1"/>
    </xf>
    <xf numFmtId="0" fontId="17" fillId="2" borderId="10" xfId="20" applyFont="1" applyFill="1" applyBorder="1" applyAlignment="1">
      <alignment vertical="center" wrapText="1"/>
    </xf>
    <xf numFmtId="0" fontId="2" fillId="2" borderId="10" xfId="20" applyFont="1" applyFill="1" applyBorder="1" applyAlignment="1">
      <alignment horizontal="center" vertical="center" wrapText="1"/>
    </xf>
    <xf numFmtId="170" fontId="17" fillId="2" borderId="10" xfId="20" applyNumberFormat="1" applyFont="1" applyFill="1" applyBorder="1" applyAlignment="1">
      <alignment horizontal="center" vertical="center" wrapText="1"/>
    </xf>
    <xf numFmtId="170" fontId="17" fillId="2" borderId="11" xfId="20" applyNumberFormat="1" applyFont="1" applyFill="1" applyBorder="1" applyAlignment="1">
      <alignment horizontal="center" vertical="center" wrapText="1"/>
    </xf>
    <xf numFmtId="170" fontId="17" fillId="2" borderId="12" xfId="20" applyNumberFormat="1" applyFont="1" applyFill="1" applyBorder="1" applyAlignment="1">
      <alignment horizontal="center" vertical="center" wrapText="1"/>
    </xf>
    <xf numFmtId="170" fontId="17" fillId="2" borderId="13" xfId="20" applyNumberFormat="1" applyFont="1" applyFill="1" applyBorder="1" applyAlignment="1">
      <alignment horizontal="center" vertical="center" wrapText="1"/>
    </xf>
    <xf numFmtId="170" fontId="17" fillId="2" borderId="14" xfId="20" applyNumberFormat="1" applyFont="1" applyFill="1" applyBorder="1" applyAlignment="1">
      <alignment horizontal="center" vertical="center" wrapText="1"/>
    </xf>
    <xf numFmtId="0" fontId="15" fillId="2" borderId="15" xfId="20" applyFont="1" applyFill="1" applyBorder="1" applyAlignment="1">
      <alignment horizontal="left" vertical="center" wrapText="1" indent="1"/>
    </xf>
    <xf numFmtId="0" fontId="2" fillId="2" borderId="15" xfId="20" applyFont="1" applyFill="1" applyBorder="1" applyAlignment="1">
      <alignment horizontal="center" vertical="center" wrapText="1"/>
    </xf>
    <xf numFmtId="170" fontId="15" fillId="2" borderId="15" xfId="20" applyNumberFormat="1" applyFont="1" applyFill="1" applyBorder="1" applyAlignment="1">
      <alignment horizontal="center" vertical="center" wrapText="1"/>
    </xf>
    <xf numFmtId="170" fontId="15" fillId="2" borderId="18" xfId="20" applyNumberFormat="1" applyFont="1" applyFill="1" applyBorder="1" applyAlignment="1">
      <alignment horizontal="center" vertical="center" wrapText="1"/>
    </xf>
    <xf numFmtId="170" fontId="15" fillId="2" borderId="16" xfId="20" applyNumberFormat="1" applyFont="1" applyFill="1" applyBorder="1" applyAlignment="1">
      <alignment horizontal="center" vertical="center" wrapText="1"/>
    </xf>
    <xf numFmtId="170" fontId="15" fillId="2" borderId="17" xfId="20" applyNumberFormat="1" applyFont="1" applyFill="1" applyBorder="1" applyAlignment="1">
      <alignment horizontal="center" vertical="center" wrapText="1"/>
    </xf>
    <xf numFmtId="170" fontId="15" fillId="2" borderId="0" xfId="20" applyNumberFormat="1" applyFont="1" applyFill="1" applyBorder="1" applyAlignment="1">
      <alignment horizontal="center" vertical="center" wrapText="1"/>
    </xf>
    <xf numFmtId="170" fontId="15" fillId="2" borderId="19" xfId="20" applyNumberFormat="1" applyFont="1" applyFill="1" applyBorder="1" applyAlignment="1">
      <alignment horizontal="center" vertical="center" wrapText="1"/>
    </xf>
    <xf numFmtId="0" fontId="15" fillId="2" borderId="18" xfId="20" applyFont="1" applyFill="1" applyBorder="1" applyAlignment="1">
      <alignment horizontal="left" vertical="center" wrapText="1" indent="2"/>
    </xf>
    <xf numFmtId="0" fontId="2" fillId="2" borderId="18" xfId="20" applyFont="1" applyFill="1" applyBorder="1" applyAlignment="1">
      <alignment horizontal="center" vertical="center" wrapText="1"/>
    </xf>
    <xf numFmtId="170" fontId="15" fillId="2" borderId="20" xfId="20" applyNumberFormat="1" applyFont="1" applyFill="1" applyBorder="1" applyAlignment="1">
      <alignment horizontal="center" vertical="center" wrapText="1"/>
    </xf>
    <xf numFmtId="170" fontId="15" fillId="2" borderId="3" xfId="20" applyNumberFormat="1" applyFont="1" applyFill="1" applyBorder="1" applyAlignment="1">
      <alignment horizontal="center" vertical="center" wrapText="1"/>
    </xf>
    <xf numFmtId="170" fontId="15" fillId="2" borderId="21" xfId="20" applyNumberFormat="1" applyFont="1" applyFill="1" applyBorder="1" applyAlignment="1">
      <alignment horizontal="center" vertical="center" wrapText="1"/>
    </xf>
    <xf numFmtId="170" fontId="15" fillId="2" borderId="22" xfId="20" applyNumberFormat="1" applyFont="1" applyFill="1" applyBorder="1" applyAlignment="1">
      <alignment horizontal="center" vertical="center" wrapText="1"/>
    </xf>
    <xf numFmtId="0" fontId="17" fillId="2" borderId="18" xfId="20" applyFont="1" applyFill="1" applyBorder="1" applyAlignment="1">
      <alignment vertical="center" wrapText="1"/>
    </xf>
    <xf numFmtId="170" fontId="17" fillId="2" borderId="18" xfId="20" applyNumberFormat="1" applyFont="1" applyFill="1" applyBorder="1" applyAlignment="1">
      <alignment horizontal="center" vertical="center" wrapText="1"/>
    </xf>
    <xf numFmtId="170" fontId="17" fillId="2" borderId="20" xfId="20" applyNumberFormat="1" applyFont="1" applyFill="1" applyBorder="1" applyAlignment="1">
      <alignment horizontal="center" vertical="center" wrapText="1"/>
    </xf>
    <xf numFmtId="170" fontId="17" fillId="2" borderId="3" xfId="20" applyNumberFormat="1" applyFont="1" applyFill="1" applyBorder="1" applyAlignment="1">
      <alignment horizontal="center" vertical="center" wrapText="1"/>
    </xf>
    <xf numFmtId="170" fontId="17" fillId="2" borderId="21" xfId="20" applyNumberFormat="1" applyFont="1" applyFill="1" applyBorder="1" applyAlignment="1">
      <alignment horizontal="center" vertical="center" wrapText="1"/>
    </xf>
    <xf numFmtId="170" fontId="17" fillId="2" borderId="22" xfId="20" applyNumberFormat="1" applyFont="1" applyFill="1" applyBorder="1" applyAlignment="1">
      <alignment horizontal="center" vertical="center" wrapText="1"/>
    </xf>
    <xf numFmtId="0" fontId="15" fillId="2" borderId="18" xfId="20" applyFont="1" applyFill="1" applyBorder="1" applyAlignment="1">
      <alignment vertical="center" wrapText="1"/>
    </xf>
    <xf numFmtId="0" fontId="16" fillId="2" borderId="18" xfId="20" applyFont="1" applyFill="1" applyBorder="1" applyAlignment="1">
      <alignment horizontal="center" vertical="center" wrapText="1"/>
    </xf>
    <xf numFmtId="170" fontId="17" fillId="2" borderId="0" xfId="20" applyNumberFormat="1" applyFont="1" applyFill="1" applyBorder="1" applyAlignment="1">
      <alignment horizontal="center" vertical="center" wrapText="1"/>
    </xf>
    <xf numFmtId="170" fontId="17" fillId="2" borderId="19" xfId="20" applyNumberFormat="1" applyFont="1" applyFill="1" applyBorder="1" applyAlignment="1">
      <alignment horizontal="center" vertical="center" wrapText="1"/>
    </xf>
    <xf numFmtId="0" fontId="15" fillId="2" borderId="18" xfId="20" applyFont="1" applyFill="1" applyBorder="1" applyAlignment="1">
      <alignment horizontal="left" vertical="center" wrapText="1" indent="1"/>
    </xf>
    <xf numFmtId="0" fontId="2" fillId="2" borderId="23" xfId="20" applyFont="1" applyFill="1" applyBorder="1" applyAlignment="1">
      <alignment horizontal="center" vertical="center" wrapText="1"/>
    </xf>
    <xf numFmtId="170" fontId="15" fillId="2" borderId="23" xfId="20" applyNumberFormat="1" applyFont="1" applyFill="1" applyBorder="1" applyAlignment="1">
      <alignment horizontal="center" vertical="center" wrapText="1"/>
    </xf>
    <xf numFmtId="170" fontId="15" fillId="2" borderId="24" xfId="20" applyNumberFormat="1" applyFont="1" applyFill="1" applyBorder="1" applyAlignment="1">
      <alignment horizontal="center" vertical="center" wrapText="1"/>
    </xf>
    <xf numFmtId="170" fontId="15" fillId="2" borderId="4" xfId="20" applyNumberFormat="1" applyFont="1" applyFill="1" applyBorder="1" applyAlignment="1">
      <alignment horizontal="center" vertical="center" wrapText="1"/>
    </xf>
    <xf numFmtId="0" fontId="17" fillId="2" borderId="15" xfId="20" applyFont="1" applyFill="1" applyBorder="1" applyAlignment="1">
      <alignment vertical="center" wrapText="1"/>
    </xf>
    <xf numFmtId="0" fontId="16" fillId="2" borderId="15" xfId="20" applyFont="1" applyFill="1" applyBorder="1" applyAlignment="1">
      <alignment horizontal="center" vertical="center" wrapText="1"/>
    </xf>
    <xf numFmtId="170" fontId="17" fillId="2" borderId="15" xfId="20" applyNumberFormat="1" applyFont="1" applyFill="1" applyBorder="1" applyAlignment="1">
      <alignment horizontal="center" vertical="center" wrapText="1"/>
    </xf>
    <xf numFmtId="170" fontId="17" fillId="2" borderId="16" xfId="20" applyNumberFormat="1" applyFont="1" applyFill="1" applyBorder="1" applyAlignment="1">
      <alignment horizontal="center" vertical="center" wrapText="1"/>
    </xf>
    <xf numFmtId="170" fontId="17" fillId="2" borderId="17" xfId="20" applyNumberFormat="1" applyFont="1" applyFill="1" applyBorder="1" applyAlignment="1">
      <alignment horizontal="center" vertical="center" wrapText="1"/>
    </xf>
    <xf numFmtId="0" fontId="15" fillId="2" borderId="23" xfId="20" applyFont="1" applyFill="1" applyBorder="1" applyAlignment="1">
      <alignment horizontal="left" vertical="center" wrapText="1" indent="1"/>
    </xf>
    <xf numFmtId="171" fontId="17" fillId="2" borderId="18" xfId="20" applyNumberFormat="1" applyFont="1" applyFill="1" applyBorder="1" applyAlignment="1">
      <alignment vertical="center" wrapText="1"/>
    </xf>
    <xf numFmtId="171" fontId="16" fillId="2" borderId="18" xfId="20" applyNumberFormat="1" applyFont="1" applyFill="1" applyBorder="1" applyAlignment="1">
      <alignment horizontal="center" vertical="center" wrapText="1"/>
    </xf>
    <xf numFmtId="169" fontId="17" fillId="2" borderId="18" xfId="20" applyNumberFormat="1" applyFont="1" applyFill="1" applyBorder="1" applyAlignment="1">
      <alignment horizontal="center" vertical="center" wrapText="1"/>
    </xf>
    <xf numFmtId="169" fontId="17" fillId="2" borderId="20" xfId="20" applyNumberFormat="1" applyFont="1" applyFill="1" applyBorder="1" applyAlignment="1">
      <alignment horizontal="center" vertical="center" wrapText="1"/>
    </xf>
    <xf numFmtId="169" fontId="17" fillId="2" borderId="3" xfId="20" applyNumberFormat="1" applyFont="1" applyFill="1" applyBorder="1" applyAlignment="1">
      <alignment horizontal="center" vertical="center" wrapText="1"/>
    </xf>
    <xf numFmtId="169" fontId="17" fillId="2" borderId="19" xfId="20" applyNumberFormat="1" applyFont="1" applyFill="1" applyBorder="1" applyAlignment="1">
      <alignment horizontal="center" vertical="center" wrapText="1"/>
    </xf>
    <xf numFmtId="170" fontId="2" fillId="2" borderId="18" xfId="20" applyNumberFormat="1" applyFont="1" applyFill="1" applyBorder="1" applyAlignment="1">
      <alignment vertical="center" wrapText="1"/>
    </xf>
    <xf numFmtId="170" fontId="2" fillId="2" borderId="18" xfId="20" applyNumberFormat="1" applyFont="1" applyFill="1" applyBorder="1" applyAlignment="1">
      <alignment horizontal="center" vertical="center" wrapText="1"/>
    </xf>
    <xf numFmtId="0" fontId="17" fillId="2" borderId="23" xfId="20" applyFont="1" applyFill="1" applyBorder="1" applyAlignment="1">
      <alignment vertical="center" wrapText="1"/>
    </xf>
    <xf numFmtId="0" fontId="16" fillId="2" borderId="23" xfId="20" applyFont="1" applyFill="1" applyBorder="1" applyAlignment="1">
      <alignment horizontal="center" vertical="center" wrapText="1"/>
    </xf>
    <xf numFmtId="170" fontId="17" fillId="2" borderId="23" xfId="20" applyNumberFormat="1" applyFont="1" applyFill="1" applyBorder="1" applyAlignment="1">
      <alignment horizontal="center" vertical="center" wrapText="1"/>
    </xf>
    <xf numFmtId="170" fontId="17" fillId="2" borderId="24" xfId="20" applyNumberFormat="1" applyFont="1" applyFill="1" applyBorder="1" applyAlignment="1">
      <alignment horizontal="center" vertical="center" wrapText="1"/>
    </xf>
    <xf numFmtId="170" fontId="17" fillId="2" borderId="4" xfId="20" applyNumberFormat="1" applyFont="1" applyFill="1" applyBorder="1" applyAlignment="1">
      <alignment horizontal="center" vertical="center" wrapText="1"/>
    </xf>
    <xf numFmtId="170" fontId="15" fillId="2" borderId="25" xfId="20" applyNumberFormat="1" applyFont="1" applyFill="1" applyBorder="1" applyAlignment="1">
      <alignment horizontal="center" vertical="center" wrapText="1"/>
    </xf>
    <xf numFmtId="170" fontId="15" fillId="2" borderId="26" xfId="20" applyNumberFormat="1" applyFont="1" applyFill="1" applyBorder="1" applyAlignment="1">
      <alignment horizontal="center" vertical="center" wrapText="1"/>
    </xf>
    <xf numFmtId="0" fontId="15" fillId="2" borderId="15" xfId="20" applyFont="1" applyFill="1" applyBorder="1" applyAlignment="1">
      <alignment horizontal="left" vertical="center" wrapText="1" indent="2"/>
    </xf>
    <xf numFmtId="0" fontId="17" fillId="2" borderId="18" xfId="20" applyFont="1" applyFill="1" applyBorder="1" applyAlignment="1">
      <alignment horizontal="left" vertical="center" wrapText="1" indent="1"/>
    </xf>
    <xf numFmtId="0" fontId="17" fillId="2" borderId="23" xfId="20" applyFont="1" applyFill="1" applyBorder="1" applyAlignment="1">
      <alignment horizontal="left" vertical="center" wrapText="1" indent="1"/>
    </xf>
    <xf numFmtId="0" fontId="15" fillId="2" borderId="23" xfId="20" applyFont="1" applyFill="1" applyBorder="1" applyAlignment="1">
      <alignment horizontal="left" vertical="center" wrapText="1" indent="2"/>
    </xf>
    <xf numFmtId="170" fontId="15" fillId="2" borderId="27" xfId="20" applyNumberFormat="1" applyFont="1" applyFill="1" applyBorder="1" applyAlignment="1">
      <alignment horizontal="center" vertical="center" wrapText="1"/>
    </xf>
    <xf numFmtId="170" fontId="15" fillId="2" borderId="28" xfId="20" applyNumberFormat="1" applyFont="1" applyFill="1" applyBorder="1" applyAlignment="1">
      <alignment horizontal="center" vertical="center" wrapText="1"/>
    </xf>
    <xf numFmtId="0" fontId="15" fillId="2" borderId="18" xfId="20" applyFont="1" applyFill="1" applyBorder="1" applyAlignment="1">
      <alignment horizontal="left" vertical="center" wrapText="1" indent="3"/>
    </xf>
    <xf numFmtId="0" fontId="17" fillId="2" borderId="15" xfId="20" applyFont="1" applyFill="1" applyBorder="1" applyAlignment="1">
      <alignment horizontal="left" vertical="center" wrapText="1" indent="1"/>
    </xf>
    <xf numFmtId="170" fontId="17" fillId="2" borderId="25" xfId="20" applyNumberFormat="1" applyFont="1" applyFill="1" applyBorder="1" applyAlignment="1">
      <alignment horizontal="center" vertical="center" wrapText="1"/>
    </xf>
    <xf numFmtId="170" fontId="17" fillId="2" borderId="26" xfId="20" applyNumberFormat="1" applyFont="1" applyFill="1" applyBorder="1" applyAlignment="1">
      <alignment horizontal="center" vertical="center" wrapText="1"/>
    </xf>
    <xf numFmtId="0" fontId="15" fillId="2" borderId="6" xfId="20" applyFont="1" applyFill="1" applyBorder="1" applyAlignment="1">
      <alignment horizontal="left" vertical="center" wrapText="1" indent="2"/>
    </xf>
    <xf numFmtId="0" fontId="2" fillId="2" borderId="6" xfId="20" applyFont="1" applyFill="1" applyBorder="1" applyAlignment="1">
      <alignment horizontal="center" vertical="center" wrapText="1"/>
    </xf>
    <xf numFmtId="170" fontId="15" fillId="2" borderId="6" xfId="20" applyNumberFormat="1" applyFont="1" applyFill="1" applyBorder="1" applyAlignment="1">
      <alignment horizontal="center" vertical="center" wrapText="1"/>
    </xf>
    <xf numFmtId="170" fontId="15" fillId="2" borderId="31" xfId="20" applyNumberFormat="1" applyFont="1" applyFill="1" applyBorder="1" applyAlignment="1">
      <alignment horizontal="center" vertical="center" wrapText="1"/>
    </xf>
    <xf numFmtId="170" fontId="15" fillId="2" borderId="29" xfId="20" applyNumberFormat="1" applyFont="1" applyFill="1" applyBorder="1" applyAlignment="1">
      <alignment horizontal="center" vertical="center" wrapText="1"/>
    </xf>
    <xf numFmtId="170" fontId="15" fillId="2" borderId="30" xfId="20" applyNumberFormat="1" applyFont="1" applyFill="1" applyBorder="1" applyAlignment="1">
      <alignment horizontal="center" vertical="center" wrapText="1"/>
    </xf>
    <xf numFmtId="170" fontId="15" fillId="2" borderId="8" xfId="20" applyNumberFormat="1" applyFont="1" applyFill="1" applyBorder="1" applyAlignment="1">
      <alignment horizontal="center" vertical="center" wrapText="1"/>
    </xf>
    <xf numFmtId="170" fontId="15" fillId="2" borderId="32" xfId="20" applyNumberFormat="1" applyFont="1" applyFill="1" applyBorder="1" applyAlignment="1">
      <alignment horizontal="center" vertical="center" wrapText="1"/>
    </xf>
    <xf numFmtId="170" fontId="15" fillId="2" borderId="33" xfId="20" applyNumberFormat="1" applyFont="1" applyFill="1" applyBorder="1" applyAlignment="1">
      <alignment horizontal="center" vertical="center" wrapText="1"/>
    </xf>
    <xf numFmtId="170" fontId="15" fillId="2" borderId="34" xfId="20" applyNumberFormat="1" applyFont="1" applyFill="1" applyBorder="1" applyAlignment="1">
      <alignment horizontal="center" vertical="center" wrapText="1"/>
    </xf>
    <xf numFmtId="170" fontId="15" fillId="2" borderId="35" xfId="20" applyNumberFormat="1" applyFont="1" applyFill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center" vertical="center" wrapText="1"/>
    </xf>
    <xf numFmtId="0" fontId="4" fillId="2" borderId="7" xfId="20" applyFont="1" applyFill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center" vertical="top" wrapText="1"/>
    </xf>
    <xf numFmtId="0" fontId="4" fillId="2" borderId="1" xfId="24" applyFont="1" applyFill="1" applyBorder="1" applyAlignment="1">
      <alignment horizontal="left" vertical="top" wrapText="1"/>
    </xf>
    <xf numFmtId="170" fontId="4" fillId="2" borderId="7" xfId="20" applyNumberFormat="1" applyFont="1" applyFill="1" applyBorder="1" applyAlignment="1">
      <alignment horizontal="center" vertical="center" wrapText="1"/>
    </xf>
    <xf numFmtId="0" fontId="4" fillId="2" borderId="1" xfId="24" applyFont="1" applyFill="1" applyBorder="1" applyAlignment="1">
      <alignment horizontal="justify" vertical="top" wrapText="1"/>
    </xf>
    <xf numFmtId="169" fontId="4" fillId="2" borderId="7" xfId="20" applyNumberFormat="1" applyFont="1" applyFill="1" applyBorder="1" applyAlignment="1">
      <alignment horizontal="center" vertical="center" wrapText="1"/>
    </xf>
    <xf numFmtId="169" fontId="4" fillId="2" borderId="1" xfId="20" applyNumberFormat="1" applyFont="1" applyFill="1" applyBorder="1" applyAlignment="1">
      <alignment horizontal="left" vertical="center" wrapText="1"/>
    </xf>
    <xf numFmtId="0" fontId="4" fillId="2" borderId="1" xfId="24" applyFont="1" applyFill="1" applyBorder="1" applyAlignment="1">
      <alignment horizontal="left" vertical="center" wrapText="1"/>
    </xf>
    <xf numFmtId="2" fontId="4" fillId="2" borderId="7" xfId="20" applyNumberFormat="1" applyFont="1" applyFill="1" applyBorder="1" applyAlignment="1">
      <alignment horizontal="center" vertical="center" wrapText="1"/>
    </xf>
    <xf numFmtId="0" fontId="4" fillId="2" borderId="6" xfId="24" applyFont="1" applyFill="1" applyBorder="1" applyAlignment="1">
      <alignment horizontal="justify" vertical="top" wrapText="1"/>
    </xf>
    <xf numFmtId="169" fontId="4" fillId="2" borderId="1" xfId="20" applyNumberFormat="1" applyFont="1" applyFill="1" applyBorder="1" applyAlignment="1">
      <alignment horizontal="center" vertical="center" wrapText="1"/>
    </xf>
    <xf numFmtId="0" fontId="5" fillId="2" borderId="6" xfId="24" applyFont="1" applyFill="1" applyBorder="1" applyAlignment="1">
      <alignment horizontal="justify" vertical="top" wrapText="1"/>
    </xf>
    <xf numFmtId="169" fontId="5" fillId="2" borderId="7" xfId="20" applyNumberFormat="1" applyFont="1" applyFill="1" applyBorder="1" applyAlignment="1">
      <alignment horizontal="center" vertical="center" wrapText="1"/>
    </xf>
    <xf numFmtId="0" fontId="5" fillId="2" borderId="1" xfId="24" applyFont="1" applyFill="1" applyBorder="1" applyAlignment="1">
      <alignment horizontal="justify" vertical="top" wrapText="1"/>
    </xf>
    <xf numFmtId="170" fontId="5" fillId="2" borderId="40" xfId="20" applyNumberFormat="1" applyFont="1" applyFill="1" applyBorder="1" applyAlignment="1">
      <alignment horizontal="center" vertical="center" wrapText="1"/>
    </xf>
    <xf numFmtId="169" fontId="5" fillId="2" borderId="1" xfId="20" applyNumberFormat="1" applyFont="1" applyFill="1" applyBorder="1" applyAlignment="1">
      <alignment horizontal="center" vertical="center" wrapText="1"/>
    </xf>
    <xf numFmtId="0" fontId="4" fillId="2" borderId="1" xfId="24" applyFont="1" applyFill="1" applyBorder="1" applyAlignment="1">
      <alignment horizontal="justify" vertical="center" wrapText="1"/>
    </xf>
    <xf numFmtId="170" fontId="5" fillId="2" borderId="7" xfId="20" applyNumberFormat="1" applyFont="1" applyFill="1" applyBorder="1" applyAlignment="1">
      <alignment horizontal="center" vertical="center" wrapText="1"/>
    </xf>
    <xf numFmtId="0" fontId="4" fillId="2" borderId="1" xfId="20" applyFont="1" applyFill="1" applyBorder="1" applyAlignment="1">
      <alignment vertical="center" wrapText="1"/>
    </xf>
    <xf numFmtId="2" fontId="5" fillId="2" borderId="7" xfId="20" applyNumberFormat="1" applyFont="1" applyFill="1" applyBorder="1" applyAlignment="1">
      <alignment horizontal="center" vertical="center" wrapText="1"/>
    </xf>
    <xf numFmtId="0" fontId="4" fillId="2" borderId="6" xfId="20" applyFont="1" applyFill="1" applyBorder="1" applyAlignment="1">
      <alignment horizontal="center" vertical="center" wrapText="1"/>
    </xf>
    <xf numFmtId="0" fontId="4" fillId="2" borderId="6" xfId="24" applyFont="1" applyFill="1" applyBorder="1" applyAlignment="1">
      <alignment horizontal="left" vertical="top" wrapText="1"/>
    </xf>
    <xf numFmtId="170" fontId="4" fillId="2" borderId="40" xfId="20" applyNumberFormat="1" applyFont="1" applyFill="1" applyBorder="1" applyAlignment="1">
      <alignment horizontal="center" vertical="center" wrapText="1"/>
    </xf>
    <xf numFmtId="169" fontId="4" fillId="2" borderId="40" xfId="20" applyNumberFormat="1" applyFont="1" applyFill="1" applyBorder="1" applyAlignment="1">
      <alignment horizontal="center" vertical="center" wrapText="1"/>
    </xf>
    <xf numFmtId="169" fontId="4" fillId="2" borderId="6" xfId="20" applyNumberFormat="1" applyFont="1" applyFill="1" applyBorder="1" applyAlignment="1">
      <alignment horizontal="left" vertical="center" wrapText="1"/>
    </xf>
    <xf numFmtId="0" fontId="4" fillId="2" borderId="6" xfId="24" applyFont="1" applyFill="1" applyBorder="1" applyAlignment="1">
      <alignment horizontal="left" vertical="center" wrapText="1"/>
    </xf>
    <xf numFmtId="0" fontId="5" fillId="2" borderId="6" xfId="20" applyFont="1" applyFill="1" applyBorder="1" applyAlignment="1">
      <alignment horizontal="center" vertical="center" wrapText="1"/>
    </xf>
    <xf numFmtId="169" fontId="5" fillId="2" borderId="40" xfId="20" applyNumberFormat="1" applyFont="1" applyFill="1" applyBorder="1" applyAlignment="1">
      <alignment horizontal="center" vertical="center" wrapText="1"/>
    </xf>
    <xf numFmtId="0" fontId="4" fillId="2" borderId="15" xfId="20" applyFont="1" applyFill="1" applyBorder="1" applyAlignment="1">
      <alignment vertical="center" wrapText="1"/>
    </xf>
    <xf numFmtId="0" fontId="4" fillId="2" borderId="6" xfId="2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2" borderId="1" xfId="20" applyFont="1" applyFill="1" applyBorder="1" applyAlignment="1">
      <alignment vertical="center" wrapText="1"/>
    </xf>
    <xf numFmtId="169" fontId="4" fillId="2" borderId="39" xfId="20" applyNumberFormat="1" applyFont="1" applyFill="1" applyBorder="1" applyAlignment="1">
      <alignment horizontal="center" vertical="center" wrapText="1"/>
    </xf>
    <xf numFmtId="169" fontId="4" fillId="2" borderId="9" xfId="20" applyNumberFormat="1" applyFont="1" applyFill="1" applyBorder="1" applyAlignment="1">
      <alignment horizontal="center" vertical="center" wrapText="1"/>
    </xf>
    <xf numFmtId="170" fontId="4" fillId="2" borderId="39" xfId="20" applyNumberFormat="1" applyFont="1" applyFill="1" applyBorder="1" applyAlignment="1">
      <alignment horizontal="center" vertical="center" wrapText="1"/>
    </xf>
    <xf numFmtId="170" fontId="4" fillId="2" borderId="1" xfId="20" applyNumberFormat="1" applyFont="1" applyFill="1" applyBorder="1" applyAlignment="1">
      <alignment horizontal="center" vertical="center" wrapText="1"/>
    </xf>
    <xf numFmtId="0" fontId="4" fillId="2" borderId="1" xfId="19" applyFont="1" applyFill="1" applyBorder="1"/>
    <xf numFmtId="0" fontId="4" fillId="2" borderId="0" xfId="20" applyFont="1" applyFill="1" applyBorder="1" applyAlignment="1"/>
    <xf numFmtId="0" fontId="4" fillId="2" borderId="0" xfId="20" applyFont="1" applyFill="1" applyBorder="1" applyAlignment="1">
      <alignment horizontal="center"/>
    </xf>
    <xf numFmtId="0" fontId="4" fillId="2" borderId="0" xfId="20" applyFont="1" applyFill="1" applyBorder="1"/>
    <xf numFmtId="170" fontId="5" fillId="2" borderId="0" xfId="19" applyNumberFormat="1" applyFont="1" applyFill="1" applyBorder="1" applyAlignment="1">
      <alignment horizontal="center"/>
    </xf>
    <xf numFmtId="0" fontId="4" fillId="2" borderId="0" xfId="19" applyFont="1" applyFill="1" applyBorder="1"/>
    <xf numFmtId="0" fontId="4" fillId="2" borderId="19" xfId="19" applyFont="1" applyFill="1" applyBorder="1"/>
    <xf numFmtId="170" fontId="4" fillId="2" borderId="0" xfId="19" applyNumberFormat="1" applyFont="1" applyFill="1" applyBorder="1"/>
    <xf numFmtId="0" fontId="4" fillId="2" borderId="37" xfId="20" applyFont="1" applyFill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center"/>
    </xf>
    <xf numFmtId="0" fontId="4" fillId="2" borderId="1" xfId="20" applyFont="1" applyFill="1" applyBorder="1" applyAlignment="1"/>
    <xf numFmtId="0" fontId="4" fillId="2" borderId="1" xfId="0" applyFont="1" applyFill="1" applyBorder="1"/>
    <xf numFmtId="0" fontId="4" fillId="2" borderId="0" xfId="20" applyFont="1" applyFill="1" applyBorder="1" applyAlignment="1">
      <alignment horizontal="left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justify" vertical="top" wrapText="1"/>
    </xf>
    <xf numFmtId="0" fontId="4" fillId="2" borderId="23" xfId="0" applyFont="1" applyFill="1" applyBorder="1" applyAlignment="1">
      <alignment horizontal="center" vertical="center" wrapText="1"/>
    </xf>
    <xf numFmtId="169" fontId="4" fillId="2" borderId="42" xfId="0" applyNumberFormat="1" applyFont="1" applyFill="1" applyBorder="1" applyAlignment="1">
      <alignment horizontal="center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169" fontId="4" fillId="2" borderId="2" xfId="0" applyNumberFormat="1" applyFont="1" applyFill="1" applyBorder="1" applyAlignment="1">
      <alignment horizontal="center" vertical="center" wrapText="1"/>
    </xf>
    <xf numFmtId="169" fontId="4" fillId="2" borderId="51" xfId="0" applyNumberFormat="1" applyFont="1" applyFill="1" applyBorder="1" applyAlignment="1">
      <alignment horizontal="center" vertical="center" wrapText="1"/>
    </xf>
    <xf numFmtId="169" fontId="4" fillId="2" borderId="5" xfId="0" applyNumberFormat="1" applyFont="1" applyFill="1" applyBorder="1" applyAlignment="1">
      <alignment horizontal="center" vertical="center" wrapText="1"/>
    </xf>
    <xf numFmtId="169" fontId="4" fillId="2" borderId="12" xfId="0" applyNumberFormat="1" applyFont="1" applyFill="1" applyBorder="1" applyAlignment="1">
      <alignment horizontal="center" vertical="center" wrapText="1"/>
    </xf>
    <xf numFmtId="169" fontId="4" fillId="2" borderId="25" xfId="0" applyNumberFormat="1" applyFont="1" applyFill="1" applyBorder="1" applyAlignment="1">
      <alignment horizontal="center" vertical="center" wrapText="1"/>
    </xf>
    <xf numFmtId="169" fontId="4" fillId="2" borderId="11" xfId="0" applyNumberFormat="1" applyFont="1" applyFill="1" applyBorder="1" applyAlignment="1">
      <alignment horizontal="center" vertical="center" wrapText="1"/>
    </xf>
    <xf numFmtId="0" fontId="4" fillId="2" borderId="43" xfId="24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41" xfId="0" applyNumberFormat="1" applyFont="1" applyFill="1" applyBorder="1" applyAlignment="1">
      <alignment horizontal="left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1" xfId="0" applyNumberFormat="1" applyFont="1" applyFill="1" applyBorder="1" applyAlignment="1">
      <alignment horizontal="center" vertical="center" wrapText="1"/>
    </xf>
    <xf numFmtId="1" fontId="4" fillId="2" borderId="52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left" vertical="center" wrapText="1"/>
    </xf>
    <xf numFmtId="1" fontId="4" fillId="2" borderId="43" xfId="0" applyNumberFormat="1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justify" vertical="top" wrapText="1"/>
    </xf>
    <xf numFmtId="169" fontId="4" fillId="2" borderId="20" xfId="0" applyNumberFormat="1" applyFont="1" applyFill="1" applyBorder="1" applyAlignment="1">
      <alignment horizontal="center" vertical="center" wrapText="1"/>
    </xf>
    <xf numFmtId="169" fontId="4" fillId="2" borderId="41" xfId="0" applyNumberFormat="1" applyFont="1" applyFill="1" applyBorder="1" applyAlignment="1">
      <alignment horizontal="left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169" fontId="4" fillId="2" borderId="21" xfId="0" applyNumberFormat="1" applyFont="1" applyFill="1" applyBorder="1" applyAlignment="1">
      <alignment horizontal="center" vertical="center" wrapText="1"/>
    </xf>
    <xf numFmtId="169" fontId="4" fillId="2" borderId="22" xfId="0" applyNumberFormat="1" applyFont="1" applyFill="1" applyBorder="1" applyAlignment="1">
      <alignment horizontal="left" vertical="center" wrapText="1"/>
    </xf>
    <xf numFmtId="169" fontId="4" fillId="2" borderId="22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0" fontId="4" fillId="2" borderId="38" xfId="24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 wrapText="1"/>
    </xf>
    <xf numFmtId="1" fontId="4" fillId="2" borderId="57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1" fontId="4" fillId="2" borderId="49" xfId="0" applyNumberFormat="1" applyFont="1" applyFill="1" applyBorder="1" applyAlignment="1">
      <alignment horizontal="left" vertical="center" wrapText="1"/>
    </xf>
    <xf numFmtId="1" fontId="4" fillId="2" borderId="30" xfId="0" applyNumberFormat="1" applyFont="1" applyFill="1" applyBorder="1" applyAlignment="1">
      <alignment horizontal="center" vertical="center" wrapText="1"/>
    </xf>
    <xf numFmtId="1" fontId="4" fillId="2" borderId="58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 vertical="center" wrapText="1"/>
    </xf>
    <xf numFmtId="0" fontId="4" fillId="2" borderId="42" xfId="24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53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51" xfId="0" applyNumberFormat="1" applyFont="1" applyFill="1" applyBorder="1" applyAlignment="1">
      <alignment horizontal="center" vertical="center" wrapText="1"/>
    </xf>
    <xf numFmtId="1" fontId="4" fillId="2" borderId="60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8" xfId="24" applyFont="1" applyFill="1" applyBorder="1" applyAlignment="1">
      <alignment horizontal="justify" vertical="top" wrapText="1"/>
    </xf>
    <xf numFmtId="0" fontId="4" fillId="2" borderId="31" xfId="0" applyFont="1" applyFill="1" applyBorder="1" applyAlignment="1">
      <alignment horizontal="center" vertical="center" wrapText="1"/>
    </xf>
    <xf numFmtId="171" fontId="4" fillId="2" borderId="32" xfId="0" applyNumberFormat="1" applyFont="1" applyFill="1" applyBorder="1" applyAlignment="1">
      <alignment horizontal="center" vertical="center" wrapText="1"/>
    </xf>
    <xf numFmtId="171" fontId="4" fillId="2" borderId="54" xfId="0" applyNumberFormat="1" applyFont="1" applyFill="1" applyBorder="1" applyAlignment="1">
      <alignment horizontal="center" vertical="center" wrapText="1"/>
    </xf>
    <xf numFmtId="171" fontId="4" fillId="2" borderId="34" xfId="0" applyNumberFormat="1" applyFont="1" applyFill="1" applyBorder="1" applyAlignment="1">
      <alignment horizontal="left" vertical="center" wrapText="1"/>
    </xf>
    <xf numFmtId="171" fontId="4" fillId="2" borderId="2" xfId="0" applyNumberFormat="1" applyFont="1" applyFill="1" applyBorder="1" applyAlignment="1">
      <alignment horizontal="center" vertical="center" wrapText="1"/>
    </xf>
    <xf numFmtId="171" fontId="4" fillId="2" borderId="3" xfId="0" applyNumberFormat="1" applyFont="1" applyFill="1" applyBorder="1" applyAlignment="1">
      <alignment horizontal="center" vertical="center" wrapText="1"/>
    </xf>
    <xf numFmtId="171" fontId="4" fillId="2" borderId="33" xfId="0" applyNumberFormat="1" applyFont="1" applyFill="1" applyBorder="1" applyAlignment="1">
      <alignment horizontal="center" vertical="center" wrapText="1"/>
    </xf>
    <xf numFmtId="171" fontId="4" fillId="2" borderId="34" xfId="0" applyNumberFormat="1" applyFont="1" applyFill="1" applyBorder="1" applyAlignment="1">
      <alignment horizontal="center" vertical="center" wrapText="1"/>
    </xf>
    <xf numFmtId="171" fontId="4" fillId="2" borderId="30" xfId="0" applyNumberFormat="1" applyFont="1" applyFill="1" applyBorder="1" applyAlignment="1">
      <alignment horizontal="center" vertical="center" wrapText="1"/>
    </xf>
    <xf numFmtId="171" fontId="4" fillId="2" borderId="57" xfId="0" applyNumberFormat="1" applyFont="1" applyFill="1" applyBorder="1" applyAlignment="1">
      <alignment horizontal="center" vertical="center" wrapText="1"/>
    </xf>
    <xf numFmtId="169" fontId="4" fillId="2" borderId="54" xfId="0" applyNumberFormat="1" applyFont="1" applyFill="1" applyBorder="1" applyAlignment="1">
      <alignment horizontal="center" vertical="center" wrapText="1"/>
    </xf>
    <xf numFmtId="171" fontId="4" fillId="2" borderId="59" xfId="0" applyNumberFormat="1" applyFont="1" applyFill="1" applyBorder="1" applyAlignment="1">
      <alignment horizontal="center" vertical="center" wrapText="1"/>
    </xf>
    <xf numFmtId="171" fontId="4" fillId="2" borderId="22" xfId="0" applyNumberFormat="1" applyFont="1" applyFill="1" applyBorder="1" applyAlignment="1">
      <alignment horizontal="center" vertical="center" wrapText="1"/>
    </xf>
    <xf numFmtId="169" fontId="4" fillId="2" borderId="53" xfId="0" applyNumberFormat="1" applyFont="1" applyFill="1" applyBorder="1" applyAlignment="1">
      <alignment horizontal="center" vertical="center" wrapText="1"/>
    </xf>
    <xf numFmtId="169" fontId="4" fillId="2" borderId="14" xfId="0" applyNumberFormat="1" applyFont="1" applyFill="1" applyBorder="1" applyAlignment="1">
      <alignment horizontal="center" vertical="center" wrapText="1"/>
    </xf>
    <xf numFmtId="169" fontId="4" fillId="2" borderId="60" xfId="0" applyNumberFormat="1" applyFont="1" applyFill="1" applyBorder="1" applyAlignment="1">
      <alignment horizontal="center" vertical="center" wrapText="1"/>
    </xf>
    <xf numFmtId="170" fontId="4" fillId="2" borderId="20" xfId="0" applyNumberFormat="1" applyFont="1" applyFill="1" applyBorder="1" applyAlignment="1">
      <alignment horizontal="center" vertical="center" wrapText="1"/>
    </xf>
    <xf numFmtId="170" fontId="4" fillId="2" borderId="2" xfId="0" applyNumberFormat="1" applyFont="1" applyFill="1" applyBorder="1" applyAlignment="1">
      <alignment horizontal="center" vertical="center" wrapText="1"/>
    </xf>
    <xf numFmtId="169" fontId="4" fillId="2" borderId="41" xfId="0" applyNumberFormat="1" applyFont="1" applyFill="1" applyBorder="1" applyAlignment="1">
      <alignment horizontal="center" vertical="center" wrapText="1"/>
    </xf>
    <xf numFmtId="169" fontId="4" fillId="2" borderId="46" xfId="0" applyNumberFormat="1" applyFont="1" applyFill="1" applyBorder="1" applyAlignment="1">
      <alignment horizontal="left" vertical="center" wrapText="1"/>
    </xf>
    <xf numFmtId="169" fontId="4" fillId="2" borderId="26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4" fillId="2" borderId="15" xfId="26" applyFont="1" applyFill="1" applyBorder="1" applyAlignment="1">
      <alignment horizontal="center" vertical="center" wrapText="1"/>
    </xf>
    <xf numFmtId="169" fontId="4" fillId="2" borderId="47" xfId="0" applyNumberFormat="1" applyFont="1" applyFill="1" applyBorder="1" applyAlignment="1">
      <alignment horizontal="center" vertical="center" wrapText="1"/>
    </xf>
    <xf numFmtId="169" fontId="5" fillId="2" borderId="47" xfId="0" applyNumberFormat="1" applyFont="1" applyFill="1" applyBorder="1" applyAlignment="1">
      <alignment horizontal="center" vertical="center" wrapText="1"/>
    </xf>
    <xf numFmtId="0" fontId="4" fillId="2" borderId="18" xfId="26" applyFont="1" applyFill="1" applyBorder="1" applyAlignment="1">
      <alignment horizontal="center" vertical="center" wrapText="1"/>
    </xf>
    <xf numFmtId="170" fontId="4" fillId="2" borderId="47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71" fontId="4" fillId="2" borderId="22" xfId="0" applyNumberFormat="1" applyFont="1" applyFill="1" applyBorder="1" applyAlignment="1">
      <alignment horizontal="left" vertical="center" wrapText="1"/>
    </xf>
    <xf numFmtId="171" fontId="4" fillId="2" borderId="21" xfId="0" applyNumberFormat="1" applyFont="1" applyFill="1" applyBorder="1" applyAlignment="1">
      <alignment horizontal="center" vertical="center" wrapText="1"/>
    </xf>
    <xf numFmtId="171" fontId="4" fillId="2" borderId="20" xfId="0" applyNumberFormat="1" applyFont="1" applyFill="1" applyBorder="1" applyAlignment="1">
      <alignment horizontal="center" vertical="center" wrapText="1"/>
    </xf>
    <xf numFmtId="169" fontId="4" fillId="2" borderId="21" xfId="0" applyNumberFormat="1" applyFont="1" applyFill="1" applyBorder="1" applyAlignment="1">
      <alignment horizontal="left" vertical="center" wrapText="1"/>
    </xf>
    <xf numFmtId="0" fontId="4" fillId="2" borderId="6" xfId="26" applyFont="1" applyFill="1" applyBorder="1" applyAlignment="1">
      <alignment horizontal="center" vertical="center" wrapText="1"/>
    </xf>
    <xf numFmtId="169" fontId="4" fillId="2" borderId="32" xfId="0" applyNumberFormat="1" applyFont="1" applyFill="1" applyBorder="1" applyAlignment="1">
      <alignment horizontal="center" vertical="center" wrapText="1"/>
    </xf>
    <xf numFmtId="169" fontId="4" fillId="2" borderId="34" xfId="0" applyNumberFormat="1" applyFont="1" applyFill="1" applyBorder="1" applyAlignment="1">
      <alignment horizontal="center" vertical="center" wrapText="1"/>
    </xf>
    <xf numFmtId="169" fontId="4" fillId="2" borderId="33" xfId="0" applyNumberFormat="1" applyFont="1" applyFill="1" applyBorder="1" applyAlignment="1">
      <alignment horizontal="center" vertical="center" wrapText="1"/>
    </xf>
    <xf numFmtId="169" fontId="4" fillId="2" borderId="49" xfId="0" applyNumberFormat="1" applyFont="1" applyFill="1" applyBorder="1" applyAlignment="1">
      <alignment horizontal="center" vertical="center" wrapText="1"/>
    </xf>
    <xf numFmtId="169" fontId="4" fillId="2" borderId="6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/>
    <xf numFmtId="0" fontId="8" fillId="0" borderId="0" xfId="19" applyFont="1" applyFill="1" applyBorder="1"/>
    <xf numFmtId="4" fontId="8" fillId="0" borderId="0" xfId="0" applyNumberFormat="1" applyFont="1" applyFill="1" applyBorder="1"/>
    <xf numFmtId="0" fontId="10" fillId="0" borderId="0" xfId="19" applyFont="1" applyFill="1" applyBorder="1"/>
    <xf numFmtId="4" fontId="35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 applyAlignment="1">
      <alignment horizontal="center"/>
    </xf>
    <xf numFmtId="4" fontId="8" fillId="0" borderId="0" xfId="19" applyNumberFormat="1" applyFont="1" applyFill="1" applyBorder="1"/>
    <xf numFmtId="4" fontId="4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/>
    <xf numFmtId="0" fontId="36" fillId="0" borderId="0" xfId="20" applyFont="1" applyFill="1" applyBorder="1"/>
    <xf numFmtId="0" fontId="36" fillId="0" borderId="0" xfId="20" applyFont="1" applyFill="1" applyBorder="1" applyAlignment="1">
      <alignment horizontal="center"/>
    </xf>
    <xf numFmtId="172" fontId="36" fillId="0" borderId="0" xfId="20" applyNumberFormat="1" applyFont="1" applyFill="1" applyBorder="1" applyAlignment="1">
      <alignment horizontal="center"/>
    </xf>
    <xf numFmtId="172" fontId="36" fillId="0" borderId="0" xfId="20" applyNumberFormat="1" applyFont="1" applyFill="1" applyBorder="1"/>
    <xf numFmtId="170" fontId="36" fillId="0" borderId="0" xfId="20" applyNumberFormat="1" applyFont="1" applyFill="1" applyBorder="1"/>
    <xf numFmtId="4" fontId="36" fillId="0" borderId="0" xfId="20" applyNumberFormat="1" applyFont="1" applyFill="1" applyBorder="1"/>
    <xf numFmtId="171" fontId="36" fillId="0" borderId="0" xfId="20" applyNumberFormat="1" applyFont="1" applyFill="1" applyBorder="1"/>
    <xf numFmtId="169" fontId="36" fillId="0" borderId="0" xfId="20" applyNumberFormat="1" applyFont="1" applyFill="1" applyBorder="1"/>
    <xf numFmtId="2" fontId="36" fillId="0" borderId="0" xfId="20" applyNumberFormat="1" applyFont="1" applyFill="1" applyBorder="1"/>
    <xf numFmtId="172" fontId="37" fillId="0" borderId="0" xfId="20" applyNumberFormat="1" applyFont="1" applyFill="1" applyBorder="1"/>
    <xf numFmtId="178" fontId="36" fillId="0" borderId="0" xfId="20" applyNumberFormat="1" applyFont="1" applyFill="1" applyBorder="1"/>
    <xf numFmtId="169" fontId="4" fillId="2" borderId="9" xfId="20" applyNumberFormat="1" applyFont="1" applyFill="1" applyBorder="1" applyAlignment="1">
      <alignment horizontal="center" vertical="center" wrapText="1"/>
    </xf>
    <xf numFmtId="0" fontId="4" fillId="2" borderId="6" xfId="20" applyFont="1" applyFill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center" vertical="center" wrapText="1"/>
    </xf>
    <xf numFmtId="0" fontId="4" fillId="0" borderId="6" xfId="2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9" xfId="20" applyFont="1" applyFill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center" vertical="center" wrapText="1"/>
    </xf>
    <xf numFmtId="0" fontId="4" fillId="2" borderId="15" xfId="20" applyFont="1" applyFill="1" applyBorder="1" applyAlignment="1">
      <alignment horizontal="center" vertical="center" wrapText="1"/>
    </xf>
    <xf numFmtId="170" fontId="17" fillId="0" borderId="10" xfId="20" applyNumberFormat="1" applyFont="1" applyBorder="1" applyAlignment="1">
      <alignment horizontal="center" vertical="center" wrapText="1"/>
    </xf>
    <xf numFmtId="170" fontId="15" fillId="0" borderId="18" xfId="20" applyNumberFormat="1" applyFont="1" applyBorder="1" applyAlignment="1">
      <alignment horizontal="center" vertical="center" wrapText="1"/>
    </xf>
    <xf numFmtId="170" fontId="17" fillId="0" borderId="18" xfId="20" applyNumberFormat="1" applyFont="1" applyBorder="1" applyAlignment="1">
      <alignment horizontal="center" vertical="center" wrapText="1"/>
    </xf>
    <xf numFmtId="170" fontId="17" fillId="0" borderId="23" xfId="20" applyNumberFormat="1" applyFont="1" applyBorder="1" applyAlignment="1">
      <alignment horizontal="center" vertical="center" wrapText="1"/>
    </xf>
    <xf numFmtId="170" fontId="17" fillId="0" borderId="15" xfId="20" applyNumberFormat="1" applyFont="1" applyBorder="1" applyAlignment="1">
      <alignment horizontal="center" vertical="center" wrapText="1"/>
    </xf>
    <xf numFmtId="170" fontId="15" fillId="0" borderId="31" xfId="20" applyNumberFormat="1" applyFont="1" applyBorder="1" applyAlignment="1">
      <alignment horizontal="center" vertical="center" wrapText="1"/>
    </xf>
    <xf numFmtId="170" fontId="17" fillId="0" borderId="11" xfId="20" applyNumberFormat="1" applyFont="1" applyBorder="1" applyAlignment="1">
      <alignment horizontal="center" vertical="center" wrapText="1"/>
    </xf>
    <xf numFmtId="170" fontId="17" fillId="0" borderId="12" xfId="20" applyNumberFormat="1" applyFont="1" applyBorder="1" applyAlignment="1">
      <alignment horizontal="center" vertical="center" wrapText="1"/>
    </xf>
    <xf numFmtId="170" fontId="17" fillId="0" borderId="13" xfId="20" applyNumberFormat="1" applyFont="1" applyBorder="1" applyAlignment="1">
      <alignment horizontal="center" vertical="center" wrapText="1"/>
    </xf>
    <xf numFmtId="170" fontId="15" fillId="0" borderId="16" xfId="20" applyNumberFormat="1" applyFont="1" applyBorder="1" applyAlignment="1">
      <alignment horizontal="center" vertical="center" wrapText="1"/>
    </xf>
    <xf numFmtId="170" fontId="15" fillId="0" borderId="17" xfId="20" applyNumberFormat="1" applyFont="1" applyBorder="1" applyAlignment="1">
      <alignment horizontal="center" vertical="center" wrapText="1"/>
    </xf>
    <xf numFmtId="170" fontId="15" fillId="0" borderId="0" xfId="20" applyNumberFormat="1" applyFont="1" applyAlignment="1">
      <alignment horizontal="center" vertical="center" wrapText="1"/>
    </xf>
    <xf numFmtId="170" fontId="15" fillId="0" borderId="20" xfId="20" applyNumberFormat="1" applyFont="1" applyBorder="1" applyAlignment="1">
      <alignment horizontal="center" vertical="center" wrapText="1"/>
    </xf>
    <xf numFmtId="170" fontId="15" fillId="0" borderId="3" xfId="20" applyNumberFormat="1" applyFont="1" applyBorder="1" applyAlignment="1">
      <alignment horizontal="center" vertical="center" wrapText="1"/>
    </xf>
    <xf numFmtId="170" fontId="15" fillId="0" borderId="21" xfId="20" applyNumberFormat="1" applyFont="1" applyBorder="1" applyAlignment="1">
      <alignment horizontal="center" vertical="center" wrapText="1"/>
    </xf>
    <xf numFmtId="170" fontId="15" fillId="0" borderId="29" xfId="20" applyNumberFormat="1" applyFont="1" applyBorder="1" applyAlignment="1">
      <alignment horizontal="center" vertical="center" wrapText="1"/>
    </xf>
    <xf numFmtId="170" fontId="15" fillId="0" borderId="30" xfId="20" applyNumberFormat="1" applyFont="1" applyBorder="1" applyAlignment="1">
      <alignment horizontal="center" vertical="center" wrapText="1"/>
    </xf>
    <xf numFmtId="170" fontId="15" fillId="0" borderId="8" xfId="20" applyNumberFormat="1" applyFont="1" applyBorder="1" applyAlignment="1">
      <alignment horizontal="center" vertical="center" wrapText="1"/>
    </xf>
    <xf numFmtId="170" fontId="17" fillId="0" borderId="20" xfId="20" applyNumberFormat="1" applyFont="1" applyBorder="1" applyAlignment="1">
      <alignment horizontal="center" vertical="center" wrapText="1"/>
    </xf>
    <xf numFmtId="170" fontId="17" fillId="0" borderId="3" xfId="20" applyNumberFormat="1" applyFont="1" applyBorder="1" applyAlignment="1">
      <alignment horizontal="center" vertical="center" wrapText="1"/>
    </xf>
    <xf numFmtId="170" fontId="17" fillId="0" borderId="21" xfId="20" applyNumberFormat="1" applyFont="1" applyBorder="1" applyAlignment="1">
      <alignment horizontal="center" vertical="center" wrapText="1"/>
    </xf>
    <xf numFmtId="170" fontId="17" fillId="0" borderId="0" xfId="20" applyNumberFormat="1" applyFont="1" applyAlignment="1">
      <alignment horizontal="center" vertical="center" wrapText="1"/>
    </xf>
    <xf numFmtId="170" fontId="15" fillId="0" borderId="24" xfId="20" applyNumberFormat="1" applyFont="1" applyBorder="1" applyAlignment="1">
      <alignment horizontal="center" vertical="center" wrapText="1"/>
    </xf>
    <xf numFmtId="170" fontId="15" fillId="0" borderId="4" xfId="20" applyNumberFormat="1" applyFont="1" applyBorder="1" applyAlignment="1">
      <alignment horizontal="center" vertical="center" wrapText="1"/>
    </xf>
    <xf numFmtId="170" fontId="17" fillId="0" borderId="16" xfId="20" applyNumberFormat="1" applyFont="1" applyBorder="1" applyAlignment="1">
      <alignment horizontal="center" vertical="center" wrapText="1"/>
    </xf>
    <xf numFmtId="170" fontId="17" fillId="0" borderId="17" xfId="20" applyNumberFormat="1" applyFont="1" applyBorder="1" applyAlignment="1">
      <alignment horizontal="center" vertical="center" wrapText="1"/>
    </xf>
    <xf numFmtId="170" fontId="15" fillId="0" borderId="43" xfId="20" applyNumberFormat="1" applyFont="1" applyBorder="1" applyAlignment="1">
      <alignment horizontal="center" vertical="center" wrapText="1"/>
    </xf>
    <xf numFmtId="170" fontId="17" fillId="0" borderId="24" xfId="20" applyNumberFormat="1" applyFont="1" applyBorder="1" applyAlignment="1">
      <alignment horizontal="center" vertical="center" wrapText="1"/>
    </xf>
    <xf numFmtId="170" fontId="17" fillId="0" borderId="4" xfId="20" applyNumberFormat="1" applyFont="1" applyBorder="1" applyAlignment="1">
      <alignment horizontal="center" vertical="center" wrapText="1"/>
    </xf>
    <xf numFmtId="170" fontId="15" fillId="0" borderId="25" xfId="20" applyNumberFormat="1" applyFont="1" applyBorder="1" applyAlignment="1">
      <alignment horizontal="center" vertical="center" wrapText="1"/>
    </xf>
    <xf numFmtId="170" fontId="15" fillId="0" borderId="27" xfId="20" applyNumberFormat="1" applyFont="1" applyBorder="1" applyAlignment="1">
      <alignment horizontal="center" vertical="center" wrapText="1"/>
    </xf>
    <xf numFmtId="170" fontId="17" fillId="0" borderId="25" xfId="20" applyNumberFormat="1" applyFont="1" applyBorder="1" applyAlignment="1">
      <alignment horizontal="center" vertical="center" wrapText="1"/>
    </xf>
    <xf numFmtId="170" fontId="15" fillId="0" borderId="22" xfId="20" applyNumberFormat="1" applyFont="1" applyBorder="1" applyAlignment="1">
      <alignment horizontal="center" vertical="center" wrapText="1"/>
    </xf>
    <xf numFmtId="170" fontId="15" fillId="0" borderId="32" xfId="20" applyNumberFormat="1" applyFont="1" applyBorder="1" applyAlignment="1">
      <alignment horizontal="center" vertical="center" wrapText="1"/>
    </xf>
    <xf numFmtId="170" fontId="15" fillId="0" borderId="33" xfId="20" applyNumberFormat="1" applyFont="1" applyBorder="1" applyAlignment="1">
      <alignment horizontal="center" vertical="center" wrapText="1"/>
    </xf>
    <xf numFmtId="170" fontId="15" fillId="0" borderId="34" xfId="20" applyNumberFormat="1" applyFont="1" applyBorder="1" applyAlignment="1">
      <alignment horizontal="center" vertical="center" wrapText="1"/>
    </xf>
    <xf numFmtId="0" fontId="4" fillId="0" borderId="1" xfId="24" applyFont="1" applyFill="1" applyBorder="1" applyAlignment="1">
      <alignment horizontal="justify" vertical="top" wrapText="1"/>
    </xf>
    <xf numFmtId="0" fontId="4" fillId="0" borderId="9" xfId="20" applyFont="1" applyBorder="1" applyAlignment="1">
      <alignment vertical="center" wrapText="1"/>
    </xf>
    <xf numFmtId="0" fontId="8" fillId="0" borderId="1" xfId="24" applyFont="1" applyBorder="1" applyAlignment="1">
      <alignment horizontal="justify" vertical="center" wrapText="1"/>
    </xf>
    <xf numFmtId="0" fontId="4" fillId="0" borderId="1" xfId="20" applyFont="1" applyBorder="1" applyAlignment="1">
      <alignment vertical="center" wrapText="1"/>
    </xf>
    <xf numFmtId="170" fontId="4" fillId="0" borderId="1" xfId="20" applyNumberFormat="1" applyFont="1" applyBorder="1" applyAlignment="1">
      <alignment horizontal="center" vertical="center" wrapText="1"/>
    </xf>
    <xf numFmtId="0" fontId="38" fillId="0" borderId="1" xfId="20" applyFont="1" applyBorder="1" applyAlignment="1">
      <alignment vertical="center" wrapText="1"/>
    </xf>
    <xf numFmtId="170" fontId="38" fillId="0" borderId="1" xfId="20" applyNumberFormat="1" applyFont="1" applyBorder="1" applyAlignment="1">
      <alignment vertical="center"/>
    </xf>
    <xf numFmtId="0" fontId="8" fillId="0" borderId="1" xfId="24" applyFont="1" applyBorder="1" applyAlignment="1">
      <alignment horizontal="justify" vertical="top" wrapText="1"/>
    </xf>
    <xf numFmtId="0" fontId="5" fillId="2" borderId="9" xfId="20" applyFont="1" applyFill="1" applyBorder="1" applyAlignment="1">
      <alignment horizontal="center" vertical="center" wrapText="1"/>
    </xf>
    <xf numFmtId="169" fontId="5" fillId="2" borderId="9" xfId="20" applyNumberFormat="1" applyFont="1" applyFill="1" applyBorder="1" applyAlignment="1">
      <alignment horizontal="center" vertical="center" wrapText="1"/>
    </xf>
    <xf numFmtId="0" fontId="8" fillId="0" borderId="1" xfId="24" applyFont="1" applyBorder="1" applyAlignment="1">
      <alignment vertical="center" wrapText="1"/>
    </xf>
    <xf numFmtId="169" fontId="4" fillId="0" borderId="6" xfId="20" applyNumberFormat="1" applyFont="1" applyBorder="1" applyAlignment="1">
      <alignment vertical="center" wrapText="1"/>
    </xf>
    <xf numFmtId="169" fontId="4" fillId="0" borderId="1" xfId="20" applyNumberFormat="1" applyFont="1" applyBorder="1" applyAlignment="1">
      <alignment vertical="center" wrapText="1"/>
    </xf>
    <xf numFmtId="169" fontId="4" fillId="0" borderId="1" xfId="20" applyNumberFormat="1" applyFont="1" applyBorder="1" applyAlignment="1">
      <alignment horizontal="left" vertical="center" wrapText="1"/>
    </xf>
    <xf numFmtId="169" fontId="4" fillId="2" borderId="55" xfId="20" applyNumberFormat="1" applyFont="1" applyFill="1" applyBorder="1" applyAlignment="1">
      <alignment horizontal="center" vertical="center" wrapText="1"/>
    </xf>
    <xf numFmtId="170" fontId="4" fillId="0" borderId="7" xfId="20" applyNumberFormat="1" applyFont="1" applyFill="1" applyBorder="1" applyAlignment="1">
      <alignment horizontal="center" vertical="center" wrapText="1"/>
    </xf>
    <xf numFmtId="0" fontId="8" fillId="0" borderId="1" xfId="24" applyFont="1" applyBorder="1" applyAlignment="1">
      <alignment horizontal="left" vertical="top" wrapText="1"/>
    </xf>
    <xf numFmtId="169" fontId="4" fillId="0" borderId="9" xfId="20" applyNumberFormat="1" applyFont="1" applyFill="1" applyBorder="1" applyAlignment="1">
      <alignment horizontal="left" vertical="center" wrapText="1"/>
    </xf>
    <xf numFmtId="169" fontId="4" fillId="0" borderId="5" xfId="0" applyNumberFormat="1" applyFont="1" applyBorder="1" applyAlignment="1">
      <alignment horizontal="center" vertical="center" wrapText="1"/>
    </xf>
    <xf numFmtId="169" fontId="8" fillId="0" borderId="2" xfId="0" applyNumberFormat="1" applyFont="1" applyBorder="1" applyAlignment="1">
      <alignment horizontal="center" vertical="center" wrapText="1"/>
    </xf>
    <xf numFmtId="169" fontId="8" fillId="0" borderId="5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left" vertical="center" wrapText="1"/>
    </xf>
    <xf numFmtId="1" fontId="4" fillId="0" borderId="41" xfId="0" applyNumberFormat="1" applyFont="1" applyFill="1" applyBorder="1" applyAlignment="1">
      <alignment horizontal="left" vertical="center" wrapText="1"/>
    </xf>
    <xf numFmtId="169" fontId="4" fillId="0" borderId="2" xfId="0" applyNumberFormat="1" applyFont="1" applyBorder="1" applyAlignment="1">
      <alignment horizontal="center" vertical="center" wrapText="1"/>
    </xf>
    <xf numFmtId="169" fontId="4" fillId="0" borderId="41" xfId="0" applyNumberFormat="1" applyFont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left" vertical="center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51" xfId="0" applyNumberFormat="1" applyFont="1" applyBorder="1" applyAlignment="1">
      <alignment horizontal="center" vertical="center" wrapText="1"/>
    </xf>
    <xf numFmtId="1" fontId="4" fillId="3" borderId="41" xfId="0" applyNumberFormat="1" applyFont="1" applyFill="1" applyBorder="1" applyAlignment="1">
      <alignment horizontal="left" vertical="center" wrapText="1"/>
    </xf>
    <xf numFmtId="1" fontId="4" fillId="3" borderId="57" xfId="0" applyNumberFormat="1" applyFont="1" applyFill="1" applyBorder="1" applyAlignment="1">
      <alignment horizontal="center" vertical="center" wrapText="1"/>
    </xf>
    <xf numFmtId="1" fontId="4" fillId="0" borderId="5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1" fontId="4" fillId="3" borderId="2" xfId="0" applyNumberFormat="1" applyFont="1" applyFill="1" applyBorder="1" applyAlignment="1">
      <alignment horizontal="center" vertical="center" wrapText="1"/>
    </xf>
    <xf numFmtId="171" fontId="4" fillId="3" borderId="54" xfId="0" applyNumberFormat="1" applyFont="1" applyFill="1" applyBorder="1" applyAlignment="1">
      <alignment horizontal="center" vertical="center" wrapText="1"/>
    </xf>
    <xf numFmtId="169" fontId="4" fillId="0" borderId="53" xfId="0" applyNumberFormat="1" applyFont="1" applyBorder="1" applyAlignment="1">
      <alignment horizontal="center" vertical="center" wrapText="1"/>
    </xf>
    <xf numFmtId="169" fontId="4" fillId="3" borderId="46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9" fontId="4" fillId="0" borderId="47" xfId="0" applyNumberFormat="1" applyFont="1" applyBorder="1" applyAlignment="1">
      <alignment horizontal="center" vertical="center" wrapText="1"/>
    </xf>
    <xf numFmtId="171" fontId="4" fillId="0" borderId="2" xfId="0" applyNumberFormat="1" applyFont="1" applyBorder="1" applyAlignment="1">
      <alignment horizontal="center" vertical="center" wrapText="1"/>
    </xf>
    <xf numFmtId="169" fontId="4" fillId="0" borderId="54" xfId="0" applyNumberFormat="1" applyFont="1" applyBorder="1" applyAlignment="1">
      <alignment horizontal="center" vertical="center" wrapText="1"/>
    </xf>
    <xf numFmtId="169" fontId="4" fillId="0" borderId="14" xfId="0" applyNumberFormat="1" applyFont="1" applyBorder="1" applyAlignment="1">
      <alignment horizontal="center" vertical="center" wrapText="1"/>
    </xf>
    <xf numFmtId="169" fontId="4" fillId="0" borderId="41" xfId="0" applyNumberFormat="1" applyFont="1" applyBorder="1" applyAlignment="1">
      <alignment horizontal="center" vertical="center" wrapText="1"/>
    </xf>
    <xf numFmtId="169" fontId="4" fillId="3" borderId="47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169" fontId="4" fillId="0" borderId="34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169" fontId="4" fillId="3" borderId="22" xfId="0" applyNumberFormat="1" applyFont="1" applyFill="1" applyBorder="1" applyAlignment="1">
      <alignment vertical="center" wrapText="1"/>
    </xf>
    <xf numFmtId="169" fontId="8" fillId="0" borderId="5" xfId="0" applyNumberFormat="1" applyFont="1" applyBorder="1" applyAlignment="1">
      <alignment horizontal="center" vertical="center" wrapText="1"/>
    </xf>
    <xf numFmtId="169" fontId="8" fillId="0" borderId="12" xfId="0" applyNumberFormat="1" applyFont="1" applyBorder="1" applyAlignment="1">
      <alignment horizontal="center" vertical="center" wrapText="1"/>
    </xf>
    <xf numFmtId="169" fontId="8" fillId="0" borderId="22" xfId="0" applyNumberFormat="1" applyFont="1" applyBorder="1" applyAlignment="1">
      <alignment horizontal="left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1" fontId="8" fillId="0" borderId="49" xfId="0" applyNumberFormat="1" applyFont="1" applyBorder="1" applyAlignment="1">
      <alignment horizontal="left" vertical="center" wrapText="1"/>
    </xf>
    <xf numFmtId="169" fontId="4" fillId="0" borderId="22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169" fontId="4" fillId="0" borderId="22" xfId="0" applyNumberFormat="1" applyFont="1" applyBorder="1" applyAlignment="1">
      <alignment horizontal="left" vertical="center" wrapText="1"/>
    </xf>
    <xf numFmtId="169" fontId="4" fillId="3" borderId="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Border="1" applyAlignment="1">
      <alignment horizontal="left" vertical="center" wrapText="1"/>
    </xf>
    <xf numFmtId="169" fontId="4" fillId="0" borderId="49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1" fontId="4" fillId="0" borderId="54" xfId="0" applyNumberFormat="1" applyFont="1" applyBorder="1" applyAlignment="1">
      <alignment horizontal="center" vertical="center" wrapText="1"/>
    </xf>
    <xf numFmtId="171" fontId="4" fillId="3" borderId="33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169" fontId="4" fillId="0" borderId="26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71" fontId="4" fillId="0" borderId="2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57" xfId="0" applyNumberFormat="1" applyFont="1" applyBorder="1" applyAlignment="1">
      <alignment horizontal="center" vertical="center" wrapText="1"/>
    </xf>
    <xf numFmtId="171" fontId="4" fillId="3" borderId="57" xfId="0" applyNumberFormat="1" applyFont="1" applyFill="1" applyBorder="1" applyAlignment="1">
      <alignment horizontal="center" vertical="center" wrapText="1"/>
    </xf>
    <xf numFmtId="171" fontId="4" fillId="3" borderId="30" xfId="0" applyNumberFormat="1" applyFont="1" applyFill="1" applyBorder="1" applyAlignment="1">
      <alignment horizontal="center" vertical="center" wrapText="1"/>
    </xf>
    <xf numFmtId="169" fontId="4" fillId="2" borderId="5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71" fontId="4" fillId="2" borderId="8" xfId="0" applyNumberFormat="1" applyFont="1" applyFill="1" applyBorder="1" applyAlignment="1">
      <alignment horizontal="center" vertical="center" wrapText="1"/>
    </xf>
    <xf numFmtId="169" fontId="4" fillId="2" borderId="13" xfId="0" applyNumberFormat="1" applyFont="1" applyFill="1" applyBorder="1" applyAlignment="1">
      <alignment horizontal="center" vertical="center" wrapText="1"/>
    </xf>
    <xf numFmtId="1" fontId="4" fillId="2" borderId="62" xfId="0" applyNumberFormat="1" applyFont="1" applyFill="1" applyBorder="1" applyAlignment="1">
      <alignment horizontal="center" vertical="center" wrapText="1"/>
    </xf>
    <xf numFmtId="171" fontId="4" fillId="2" borderId="52" xfId="0" applyNumberFormat="1" applyFont="1" applyFill="1" applyBorder="1" applyAlignment="1">
      <alignment horizontal="center" vertical="center" wrapText="1"/>
    </xf>
    <xf numFmtId="169" fontId="4" fillId="2" borderId="6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center" vertical="center" wrapText="1"/>
    </xf>
    <xf numFmtId="169" fontId="4" fillId="0" borderId="33" xfId="0" applyNumberFormat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left" vertical="center" wrapText="1"/>
    </xf>
    <xf numFmtId="169" fontId="8" fillId="0" borderId="3" xfId="0" applyNumberFormat="1" applyFont="1" applyBorder="1" applyAlignment="1">
      <alignment horizontal="center" vertical="center" wrapText="1"/>
    </xf>
    <xf numFmtId="171" fontId="4" fillId="0" borderId="33" xfId="0" applyNumberFormat="1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1" fontId="4" fillId="3" borderId="34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4" fillId="2" borderId="24" xfId="0" applyNumberFormat="1" applyFont="1" applyFill="1" applyBorder="1" applyAlignment="1">
      <alignment horizontal="center" vertical="center" wrapText="1"/>
    </xf>
    <xf numFmtId="169" fontId="4" fillId="2" borderId="64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71" fontId="4" fillId="2" borderId="63" xfId="0" applyNumberFormat="1" applyFont="1" applyFill="1" applyBorder="1" applyAlignment="1">
      <alignment horizontal="left" vertical="center" wrapText="1"/>
    </xf>
    <xf numFmtId="169" fontId="4" fillId="0" borderId="20" xfId="0" applyNumberFormat="1" applyFont="1" applyBorder="1" applyAlignment="1">
      <alignment horizontal="center" vertical="center" wrapText="1"/>
    </xf>
    <xf numFmtId="169" fontId="4" fillId="0" borderId="7" xfId="20" applyNumberFormat="1" applyFont="1" applyFill="1" applyBorder="1" applyAlignment="1">
      <alignment horizontal="center" vertical="center" wrapText="1"/>
    </xf>
    <xf numFmtId="0" fontId="8" fillId="0" borderId="1" xfId="24" applyFont="1" applyFill="1" applyBorder="1" applyAlignment="1">
      <alignment horizontal="justify" vertical="top" wrapText="1"/>
    </xf>
    <xf numFmtId="2" fontId="4" fillId="0" borderId="7" xfId="20" applyNumberFormat="1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vertical="center" wrapText="1"/>
    </xf>
    <xf numFmtId="170" fontId="5" fillId="0" borderId="7" xfId="20" applyNumberFormat="1" applyFont="1" applyFill="1" applyBorder="1" applyAlignment="1">
      <alignment horizontal="center" vertical="center" wrapText="1"/>
    </xf>
    <xf numFmtId="169" fontId="4" fillId="0" borderId="19" xfId="2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169" fontId="5" fillId="2" borderId="39" xfId="20" applyNumberFormat="1" applyFont="1" applyFill="1" applyBorder="1" applyAlignment="1">
      <alignment horizontal="center" vertical="center" wrapText="1"/>
    </xf>
    <xf numFmtId="170" fontId="5" fillId="2" borderId="38" xfId="20" applyNumberFormat="1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top" wrapText="1"/>
    </xf>
    <xf numFmtId="170" fontId="4" fillId="0" borderId="36" xfId="20" applyNumberFormat="1" applyFont="1" applyFill="1" applyBorder="1" applyAlignment="1">
      <alignment horizontal="center" vertical="center" wrapText="1"/>
    </xf>
    <xf numFmtId="170" fontId="4" fillId="2" borderId="36" xfId="20" applyNumberFormat="1" applyFont="1" applyFill="1" applyBorder="1" applyAlignment="1">
      <alignment horizontal="center" vertical="center" wrapText="1"/>
    </xf>
    <xf numFmtId="169" fontId="5" fillId="2" borderId="36" xfId="20" applyNumberFormat="1" applyFont="1" applyFill="1" applyBorder="1" applyAlignment="1">
      <alignment horizontal="center" vertical="center" wrapText="1"/>
    </xf>
    <xf numFmtId="170" fontId="4" fillId="2" borderId="1" xfId="20" applyNumberFormat="1" applyFont="1" applyFill="1" applyBorder="1" applyAlignment="1">
      <alignment vertical="center" wrapText="1"/>
    </xf>
    <xf numFmtId="0" fontId="8" fillId="0" borderId="6" xfId="24" applyFont="1" applyBorder="1" applyAlignment="1">
      <alignment horizontal="left" vertical="top" wrapText="1"/>
    </xf>
    <xf numFmtId="170" fontId="4" fillId="0" borderId="8" xfId="20" applyNumberFormat="1" applyFont="1" applyFill="1" applyBorder="1" applyAlignment="1">
      <alignment horizontal="center" vertical="center" wrapText="1"/>
    </xf>
    <xf numFmtId="0" fontId="8" fillId="0" borderId="0" xfId="19" applyFont="1" applyFill="1"/>
    <xf numFmtId="0" fontId="5" fillId="0" borderId="1" xfId="20" applyFont="1" applyFill="1" applyBorder="1" applyAlignment="1">
      <alignment horizontal="center" vertical="center" wrapText="1"/>
    </xf>
    <xf numFmtId="170" fontId="10" fillId="0" borderId="0" xfId="19" applyNumberFormat="1" applyFont="1" applyFill="1" applyAlignment="1">
      <alignment horizontal="left"/>
    </xf>
    <xf numFmtId="0" fontId="39" fillId="0" borderId="36" xfId="20" applyFont="1" applyFill="1" applyBorder="1" applyAlignment="1">
      <alignment horizontal="left" vertical="center" wrapText="1"/>
    </xf>
    <xf numFmtId="0" fontId="39" fillId="0" borderId="1" xfId="20" applyFont="1" applyFill="1" applyBorder="1" applyAlignment="1">
      <alignment horizontal="left" vertical="center" wrapText="1"/>
    </xf>
    <xf numFmtId="0" fontId="4" fillId="0" borderId="1" xfId="24" applyFont="1" applyBorder="1" applyAlignment="1">
      <alignment horizontal="justify" vertical="top" wrapText="1"/>
    </xf>
    <xf numFmtId="0" fontId="4" fillId="2" borderId="9" xfId="24" applyFont="1" applyFill="1" applyBorder="1" applyAlignment="1">
      <alignment vertical="center" wrapText="1"/>
    </xf>
    <xf numFmtId="0" fontId="4" fillId="2" borderId="15" xfId="24" applyFont="1" applyFill="1" applyBorder="1" applyAlignment="1">
      <alignment vertical="center" wrapText="1"/>
    </xf>
    <xf numFmtId="0" fontId="4" fillId="2" borderId="6" xfId="24" applyFont="1" applyFill="1" applyBorder="1" applyAlignment="1">
      <alignment vertical="center" wrapText="1"/>
    </xf>
    <xf numFmtId="0" fontId="10" fillId="0" borderId="0" xfId="30" applyFont="1" applyAlignment="1">
      <alignment horizontal="center"/>
    </xf>
    <xf numFmtId="0" fontId="14" fillId="0" borderId="0" xfId="20" applyFont="1" applyAlignment="1">
      <alignment horizontal="center" wrapText="1"/>
    </xf>
    <xf numFmtId="0" fontId="4" fillId="0" borderId="0" xfId="20" applyFont="1" applyAlignment="1">
      <alignment horizontal="center"/>
    </xf>
    <xf numFmtId="0" fontId="14" fillId="0" borderId="0" xfId="20" applyFont="1" applyAlignment="1">
      <alignment horizontal="center"/>
    </xf>
    <xf numFmtId="0" fontId="5" fillId="0" borderId="8" xfId="20" applyFont="1" applyBorder="1" applyAlignment="1">
      <alignment horizontal="left" vertical="center" wrapText="1"/>
    </xf>
    <xf numFmtId="172" fontId="36" fillId="0" borderId="0" xfId="20" applyNumberFormat="1" applyFont="1" applyFill="1" applyBorder="1" applyAlignment="1">
      <alignment horizontal="center"/>
    </xf>
    <xf numFmtId="0" fontId="36" fillId="0" borderId="0" xfId="20" applyFont="1" applyFill="1" applyBorder="1" applyAlignment="1">
      <alignment horizontal="center"/>
    </xf>
    <xf numFmtId="0" fontId="17" fillId="2" borderId="1" xfId="20" applyFont="1" applyFill="1" applyBorder="1" applyAlignment="1">
      <alignment horizontal="center" vertical="center" wrapText="1"/>
    </xf>
    <xf numFmtId="0" fontId="16" fillId="2" borderId="1" xfId="20" applyFont="1" applyFill="1" applyBorder="1" applyAlignment="1">
      <alignment horizontal="center" vertical="top"/>
    </xf>
    <xf numFmtId="0" fontId="16" fillId="2" borderId="7" xfId="20" applyFont="1" applyFill="1" applyBorder="1" applyAlignment="1">
      <alignment horizontal="center" vertical="top"/>
    </xf>
    <xf numFmtId="0" fontId="16" fillId="2" borderId="36" xfId="20" applyFont="1" applyFill="1" applyBorder="1" applyAlignment="1">
      <alignment horizontal="center" vertical="top"/>
    </xf>
    <xf numFmtId="0" fontId="16" fillId="2" borderId="37" xfId="20" applyFont="1" applyFill="1" applyBorder="1" applyAlignment="1">
      <alignment horizontal="center" vertical="top"/>
    </xf>
    <xf numFmtId="0" fontId="15" fillId="2" borderId="7" xfId="20" applyFont="1" applyFill="1" applyBorder="1" applyAlignment="1">
      <alignment horizontal="center" vertical="center" wrapText="1"/>
    </xf>
    <xf numFmtId="0" fontId="15" fillId="2" borderId="36" xfId="20" applyFont="1" applyFill="1" applyBorder="1" applyAlignment="1">
      <alignment horizontal="center" vertical="center" wrapText="1"/>
    </xf>
    <xf numFmtId="0" fontId="15" fillId="2" borderId="37" xfId="20" applyFont="1" applyFill="1" applyBorder="1" applyAlignment="1">
      <alignment horizontal="center" vertical="center" wrapText="1"/>
    </xf>
    <xf numFmtId="0" fontId="17" fillId="2" borderId="38" xfId="20" applyFont="1" applyFill="1" applyBorder="1" applyAlignment="1">
      <alignment horizontal="center" vertical="center" wrapText="1"/>
    </xf>
    <xf numFmtId="0" fontId="17" fillId="2" borderId="0" xfId="20" applyFont="1" applyFill="1" applyBorder="1" applyAlignment="1">
      <alignment horizontal="center" vertical="center" wrapText="1"/>
    </xf>
    <xf numFmtId="0" fontId="17" fillId="2" borderId="19" xfId="20" applyFont="1" applyFill="1" applyBorder="1" applyAlignment="1">
      <alignment horizontal="center" vertical="center" wrapText="1"/>
    </xf>
    <xf numFmtId="0" fontId="17" fillId="2" borderId="7" xfId="20" applyFont="1" applyFill="1" applyBorder="1" applyAlignment="1">
      <alignment horizontal="center" vertical="center" wrapText="1"/>
    </xf>
    <xf numFmtId="0" fontId="17" fillId="2" borderId="36" xfId="20" applyFont="1" applyFill="1" applyBorder="1" applyAlignment="1">
      <alignment horizontal="center" vertical="center" wrapText="1"/>
    </xf>
    <xf numFmtId="0" fontId="17" fillId="2" borderId="37" xfId="20" applyFont="1" applyFill="1" applyBorder="1" applyAlignment="1">
      <alignment horizontal="center" vertical="center" wrapText="1"/>
    </xf>
    <xf numFmtId="0" fontId="5" fillId="0" borderId="8" xfId="20" applyFont="1" applyFill="1" applyBorder="1" applyAlignment="1">
      <alignment horizontal="left" vertical="center" wrapText="1"/>
    </xf>
    <xf numFmtId="0" fontId="15" fillId="0" borderId="9" xfId="20" applyFont="1" applyFill="1" applyBorder="1" applyAlignment="1">
      <alignment horizontal="center" vertical="center" wrapText="1"/>
    </xf>
    <xf numFmtId="0" fontId="15" fillId="0" borderId="15" xfId="20" applyFont="1" applyFill="1" applyBorder="1" applyAlignment="1">
      <alignment horizontal="center" vertical="center" wrapText="1"/>
    </xf>
    <xf numFmtId="0" fontId="15" fillId="0" borderId="6" xfId="20" applyFont="1" applyFill="1" applyBorder="1" applyAlignment="1">
      <alignment horizontal="center" vertical="center" wrapText="1"/>
    </xf>
    <xf numFmtId="0" fontId="15" fillId="2" borderId="1" xfId="20" applyFont="1" applyFill="1" applyBorder="1" applyAlignment="1">
      <alignment horizontal="center" vertical="center" wrapText="1"/>
    </xf>
    <xf numFmtId="0" fontId="4" fillId="2" borderId="7" xfId="20" applyFont="1" applyFill="1" applyBorder="1" applyAlignment="1">
      <alignment horizontal="center" vertical="center"/>
    </xf>
    <xf numFmtId="0" fontId="4" fillId="2" borderId="36" xfId="20" applyFont="1" applyFill="1" applyBorder="1" applyAlignment="1">
      <alignment horizontal="center" vertical="center"/>
    </xf>
    <xf numFmtId="0" fontId="4" fillId="2" borderId="9" xfId="20" applyFont="1" applyFill="1" applyBorder="1" applyAlignment="1">
      <alignment horizontal="center" vertical="center" wrapText="1"/>
    </xf>
    <xf numFmtId="0" fontId="4" fillId="2" borderId="6" xfId="20" applyFont="1" applyFill="1" applyBorder="1" applyAlignment="1">
      <alignment horizontal="center" vertical="center" wrapText="1"/>
    </xf>
    <xf numFmtId="0" fontId="4" fillId="2" borderId="1" xfId="20" applyFont="1" applyFill="1" applyBorder="1" applyAlignment="1">
      <alignment horizontal="center" vertical="center" wrapText="1"/>
    </xf>
    <xf numFmtId="0" fontId="4" fillId="2" borderId="55" xfId="20" applyFont="1" applyFill="1" applyBorder="1" applyAlignment="1">
      <alignment horizontal="center" vertical="center" wrapText="1"/>
    </xf>
    <xf numFmtId="0" fontId="4" fillId="2" borderId="35" xfId="20" applyFont="1" applyFill="1" applyBorder="1" applyAlignment="1">
      <alignment horizontal="center" vertical="center" wrapText="1"/>
    </xf>
    <xf numFmtId="0" fontId="4" fillId="2" borderId="56" xfId="20" applyFont="1" applyFill="1" applyBorder="1" applyAlignment="1">
      <alignment horizontal="left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36" xfId="0" applyNumberFormat="1" applyFont="1" applyFill="1" applyBorder="1" applyAlignment="1">
      <alignment horizontal="center" vertical="center" wrapText="1"/>
    </xf>
    <xf numFmtId="0" fontId="5" fillId="2" borderId="8" xfId="19" applyNumberFormat="1" applyFont="1" applyFill="1" applyBorder="1" applyAlignment="1">
      <alignment horizontal="left" vertical="center" wrapText="1"/>
    </xf>
    <xf numFmtId="0" fontId="5" fillId="2" borderId="35" xfId="19" applyNumberFormat="1" applyFont="1" applyFill="1" applyBorder="1" applyAlignment="1">
      <alignment horizontal="left" vertical="center" wrapText="1"/>
    </xf>
    <xf numFmtId="0" fontId="4" fillId="0" borderId="56" xfId="20" applyFont="1" applyBorder="1" applyAlignment="1">
      <alignment horizontal="left" wrapText="1"/>
    </xf>
    <xf numFmtId="0" fontId="4" fillId="2" borderId="7" xfId="20" applyFont="1" applyFill="1" applyBorder="1" applyAlignment="1">
      <alignment horizontal="left"/>
    </xf>
    <xf numFmtId="0" fontId="4" fillId="2" borderId="36" xfId="20" applyFont="1" applyFill="1" applyBorder="1" applyAlignment="1">
      <alignment horizontal="left"/>
    </xf>
    <xf numFmtId="0" fontId="5" fillId="2" borderId="37" xfId="0" applyNumberFormat="1" applyFont="1" applyFill="1" applyBorder="1" applyAlignment="1">
      <alignment horizontal="center" vertical="center" wrapText="1"/>
    </xf>
    <xf numFmtId="0" fontId="5" fillId="2" borderId="0" xfId="20" applyFont="1" applyFill="1" applyBorder="1" applyAlignment="1">
      <alignment horizontal="left" wrapText="1"/>
    </xf>
    <xf numFmtId="169" fontId="4" fillId="2" borderId="9" xfId="20" applyNumberFormat="1" applyFont="1" applyFill="1" applyBorder="1" applyAlignment="1">
      <alignment horizontal="center" vertical="center" wrapText="1"/>
    </xf>
    <xf numFmtId="169" fontId="4" fillId="2" borderId="15" xfId="20" applyNumberFormat="1" applyFont="1" applyFill="1" applyBorder="1" applyAlignment="1">
      <alignment horizontal="center" vertical="center" wrapText="1"/>
    </xf>
    <xf numFmtId="169" fontId="4" fillId="2" borderId="6" xfId="20" applyNumberFormat="1" applyFont="1" applyFill="1" applyBorder="1" applyAlignment="1">
      <alignment horizontal="center" vertical="center" wrapText="1"/>
    </xf>
    <xf numFmtId="0" fontId="4" fillId="2" borderId="15" xfId="20" applyFont="1" applyFill="1" applyBorder="1" applyAlignment="1">
      <alignment horizontal="center" vertical="center" wrapText="1"/>
    </xf>
    <xf numFmtId="0" fontId="5" fillId="2" borderId="0" xfId="19" applyNumberFormat="1" applyFont="1" applyFill="1" applyBorder="1" applyAlignment="1">
      <alignment horizontal="left" vertical="center" wrapText="1"/>
    </xf>
    <xf numFmtId="0" fontId="5" fillId="2" borderId="7" xfId="19" applyNumberFormat="1" applyFont="1" applyFill="1" applyBorder="1" applyAlignment="1">
      <alignment horizontal="center" vertical="center" wrapText="1"/>
    </xf>
    <xf numFmtId="0" fontId="5" fillId="2" borderId="36" xfId="19" applyNumberFormat="1" applyFont="1" applyFill="1" applyBorder="1" applyAlignment="1">
      <alignment horizontal="center" vertical="center" wrapText="1"/>
    </xf>
    <xf numFmtId="0" fontId="5" fillId="2" borderId="7" xfId="20" applyFont="1" applyFill="1" applyBorder="1" applyAlignment="1">
      <alignment horizontal="left" vertical="center" wrapText="1"/>
    </xf>
    <xf numFmtId="0" fontId="5" fillId="2" borderId="36" xfId="20" applyFont="1" applyFill="1" applyBorder="1" applyAlignment="1">
      <alignment horizontal="left" vertical="center" wrapText="1"/>
    </xf>
    <xf numFmtId="0" fontId="5" fillId="2" borderId="37" xfId="20" applyFont="1" applyFill="1" applyBorder="1" applyAlignment="1">
      <alignment horizontal="left" vertical="center" wrapText="1"/>
    </xf>
    <xf numFmtId="0" fontId="8" fillId="0" borderId="9" xfId="24" applyFont="1" applyBorder="1" applyAlignment="1">
      <alignment horizontal="left" vertical="center" wrapText="1"/>
    </xf>
    <xf numFmtId="0" fontId="8" fillId="0" borderId="15" xfId="24" applyFont="1" applyBorder="1" applyAlignment="1">
      <alignment horizontal="left" vertical="center" wrapText="1"/>
    </xf>
    <xf numFmtId="170" fontId="4" fillId="0" borderId="9" xfId="20" applyNumberFormat="1" applyFont="1" applyBorder="1" applyAlignment="1">
      <alignment horizontal="center" vertical="center" wrapText="1"/>
    </xf>
    <xf numFmtId="170" fontId="4" fillId="0" borderId="15" xfId="20" applyNumberFormat="1" applyFont="1" applyBorder="1" applyAlignment="1">
      <alignment horizontal="center" vertical="center" wrapText="1"/>
    </xf>
    <xf numFmtId="169" fontId="4" fillId="0" borderId="9" xfId="20" applyNumberFormat="1" applyFont="1" applyBorder="1" applyAlignment="1">
      <alignment horizontal="left" vertical="center" wrapText="1"/>
    </xf>
    <xf numFmtId="169" fontId="4" fillId="0" borderId="15" xfId="20" applyNumberFormat="1" applyFont="1" applyBorder="1" applyAlignment="1">
      <alignment horizontal="left" vertical="center" wrapText="1"/>
    </xf>
    <xf numFmtId="169" fontId="4" fillId="0" borderId="6" xfId="20" applyNumberFormat="1" applyFont="1" applyBorder="1" applyAlignment="1">
      <alignment horizontal="left" vertical="center" wrapText="1"/>
    </xf>
    <xf numFmtId="170" fontId="4" fillId="0" borderId="9" xfId="20" applyNumberFormat="1" applyFont="1" applyFill="1" applyBorder="1" applyAlignment="1">
      <alignment horizontal="center" vertical="center" wrapText="1"/>
    </xf>
    <xf numFmtId="170" fontId="4" fillId="0" borderId="15" xfId="20" applyNumberFormat="1" applyFont="1" applyFill="1" applyBorder="1" applyAlignment="1">
      <alignment horizontal="center" vertical="center" wrapText="1"/>
    </xf>
    <xf numFmtId="170" fontId="4" fillId="0" borderId="6" xfId="2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0" fontId="4" fillId="2" borderId="9" xfId="20" applyNumberFormat="1" applyFont="1" applyFill="1" applyBorder="1" applyAlignment="1">
      <alignment horizontal="center" vertical="center" wrapText="1"/>
    </xf>
    <xf numFmtId="170" fontId="4" fillId="2" borderId="6" xfId="20" applyNumberFormat="1" applyFont="1" applyFill="1" applyBorder="1" applyAlignment="1">
      <alignment horizontal="center" vertical="center" wrapText="1"/>
    </xf>
    <xf numFmtId="169" fontId="4" fillId="2" borderId="9" xfId="20" applyNumberFormat="1" applyFont="1" applyFill="1" applyBorder="1" applyAlignment="1">
      <alignment horizontal="left" vertical="center" wrapText="1"/>
    </xf>
    <xf numFmtId="169" fontId="4" fillId="2" borderId="6" xfId="20" applyNumberFormat="1" applyFont="1" applyFill="1" applyBorder="1" applyAlignment="1">
      <alignment horizontal="left" vertical="center" wrapText="1"/>
    </xf>
    <xf numFmtId="0" fontId="4" fillId="2" borderId="9" xfId="20" applyFont="1" applyFill="1" applyBorder="1" applyAlignment="1">
      <alignment horizontal="left" vertical="center" wrapText="1"/>
    </xf>
    <xf numFmtId="0" fontId="4" fillId="2" borderId="6" xfId="20" applyFont="1" applyFill="1" applyBorder="1" applyAlignment="1">
      <alignment horizontal="left" vertical="center" wrapText="1"/>
    </xf>
    <xf numFmtId="169" fontId="4" fillId="0" borderId="9" xfId="20" applyNumberFormat="1" applyFont="1" applyBorder="1" applyAlignment="1">
      <alignment horizontal="left" vertical="top" wrapText="1"/>
    </xf>
    <xf numFmtId="169" fontId="4" fillId="0" borderId="6" xfId="20" applyNumberFormat="1" applyFont="1" applyBorder="1" applyAlignment="1">
      <alignment horizontal="left" vertical="top" wrapText="1"/>
    </xf>
    <xf numFmtId="0" fontId="4" fillId="0" borderId="9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9" xfId="20" applyFont="1" applyFill="1" applyBorder="1" applyAlignment="1">
      <alignment horizontal="center" vertical="center" wrapText="1"/>
    </xf>
    <xf numFmtId="0" fontId="4" fillId="0" borderId="15" xfId="20" applyFont="1" applyFill="1" applyBorder="1" applyAlignment="1">
      <alignment horizontal="center" vertical="center" wrapText="1"/>
    </xf>
    <xf numFmtId="0" fontId="4" fillId="0" borderId="6" xfId="20" applyFont="1" applyFill="1" applyBorder="1" applyAlignment="1">
      <alignment horizontal="center" vertical="center" wrapText="1"/>
    </xf>
    <xf numFmtId="0" fontId="5" fillId="0" borderId="7" xfId="20" applyFont="1" applyFill="1" applyBorder="1" applyAlignment="1">
      <alignment horizontal="left" vertical="center" wrapText="1"/>
    </xf>
    <xf numFmtId="0" fontId="5" fillId="0" borderId="36" xfId="20" applyFont="1" applyFill="1" applyBorder="1" applyAlignment="1">
      <alignment horizontal="left" vertical="center" wrapText="1"/>
    </xf>
    <xf numFmtId="0" fontId="5" fillId="0" borderId="37" xfId="20" applyFont="1" applyFill="1" applyBorder="1" applyAlignment="1">
      <alignment horizontal="left" vertical="center" wrapText="1"/>
    </xf>
    <xf numFmtId="169" fontId="4" fillId="2" borderId="15" xfId="20" applyNumberFormat="1" applyFont="1" applyFill="1" applyBorder="1" applyAlignment="1">
      <alignment horizontal="left" vertical="center" wrapText="1"/>
    </xf>
    <xf numFmtId="0" fontId="10" fillId="0" borderId="8" xfId="19" applyFont="1" applyFill="1" applyBorder="1" applyAlignment="1">
      <alignment horizontal="left" wrapText="1"/>
    </xf>
    <xf numFmtId="0" fontId="4" fillId="0" borderId="55" xfId="20" applyFont="1" applyFill="1" applyBorder="1" applyAlignment="1">
      <alignment horizontal="center" vertical="center" wrapText="1"/>
    </xf>
    <xf numFmtId="0" fontId="4" fillId="0" borderId="35" xfId="20" applyFont="1" applyFill="1" applyBorder="1" applyAlignment="1">
      <alignment horizontal="center" vertical="center" wrapText="1"/>
    </xf>
    <xf numFmtId="0" fontId="4" fillId="0" borderId="7" xfId="20" applyFont="1" applyFill="1" applyBorder="1" applyAlignment="1">
      <alignment horizontal="center" vertical="center" wrapText="1"/>
    </xf>
    <xf numFmtId="0" fontId="4" fillId="0" borderId="36" xfId="20" applyFont="1" applyFill="1" applyBorder="1" applyAlignment="1">
      <alignment horizontal="center" vertical="center" wrapText="1"/>
    </xf>
    <xf numFmtId="0" fontId="4" fillId="0" borderId="37" xfId="20" applyFont="1" applyFill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169" fontId="4" fillId="2" borderId="50" xfId="0" applyNumberFormat="1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36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top" wrapText="1"/>
    </xf>
    <xf numFmtId="169" fontId="4" fillId="2" borderId="2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9" fontId="4" fillId="0" borderId="1" xfId="20" applyNumberFormat="1" applyFont="1" applyFill="1" applyBorder="1" applyAlignment="1">
      <alignment vertical="center" wrapText="1"/>
    </xf>
    <xf numFmtId="169" fontId="4" fillId="0" borderId="6" xfId="20" applyNumberFormat="1" applyFont="1" applyFill="1" applyBorder="1" applyAlignment="1">
      <alignment vertical="center" wrapText="1"/>
    </xf>
  </cellXfs>
  <cellStyles count="40">
    <cellStyle name="_прил 23-27 ЧЭ ХВС" xfId="1"/>
    <cellStyle name="AFE" xfId="2"/>
    <cellStyle name="Alilciue [0]_AAA" xfId="3"/>
    <cellStyle name="Alilciue_AAA" xfId="4"/>
    <cellStyle name="Äĺíĺćíűé_AN" xfId="5"/>
    <cellStyle name="Alilciue_IKGPR" xfId="6"/>
    <cellStyle name="Äĺíĺćíűé_KOTELPR" xfId="7"/>
    <cellStyle name="Alilciue_RAZRAD" xfId="8"/>
    <cellStyle name="Äĺíĺćíűé_REG" xfId="9"/>
    <cellStyle name="Iau?iue_AAA" xfId="10"/>
    <cellStyle name="Îáű÷íűé_1 číä óä10" xfId="11"/>
    <cellStyle name="Nun??c [0]_AAA" xfId="12"/>
    <cellStyle name="Nun??c_AAA" xfId="13"/>
    <cellStyle name="Ňűń˙÷č [0]_1 číä óä10" xfId="14"/>
    <cellStyle name="Ňűń˙÷č_1 číä óä10" xfId="15"/>
    <cellStyle name="Ôčíŕíńîâűé [0]_ATPCD30" xfId="16"/>
    <cellStyle name="Ôčíŕíńîâűé_ATPCD30" xfId="17"/>
    <cellStyle name="Денежный [0Э_11DXATP" xfId="18"/>
    <cellStyle name="Обычный" xfId="0" builtinId="0"/>
    <cellStyle name="Обычный 2" xfId="19"/>
    <cellStyle name="Обычный 2_ООО Тепловая компания (печора)" xfId="20"/>
    <cellStyle name="Обычный 3" xfId="21"/>
    <cellStyle name="Обычный 4" xfId="22"/>
    <cellStyle name="Обычный 5" xfId="23"/>
    <cellStyle name="Обычный 5 2" xfId="24"/>
    <cellStyle name="Обычный 5 3" xfId="25"/>
    <cellStyle name="Обычный 5_ХВС БЖКХ ПП 2016 фактВ" xfId="26"/>
    <cellStyle name="Обычный 6" xfId="27"/>
    <cellStyle name="Обычный 7" xfId="28"/>
    <cellStyle name="Обычный 8" xfId="29"/>
    <cellStyle name="Обычный_PP_PitWater" xfId="30"/>
    <cellStyle name="Процентный 2" xfId="31"/>
    <cellStyle name="Процентный 3" xfId="32"/>
    <cellStyle name="Процентный 4" xfId="33"/>
    <cellStyle name="Процентный 5" xfId="34"/>
    <cellStyle name="Процентный 6" xfId="35"/>
    <cellStyle name="Стиль 1" xfId="36"/>
    <cellStyle name="Тысячи [0]_1 инд уд10" xfId="37"/>
    <cellStyle name="Тысячи_1 инд уд10" xfId="38"/>
    <cellStyle name="Финансов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42;&#1057;%20&#1041;&#1046;&#1050;&#1061;%20&#1055;&#1055;%202019%20&#1092;&#1072;&#1082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4\&#1046;&#1050;&#1061;\&#1050;&#1054;&#1052;&#1052;&#1059;&#1053;&#1040;&#1051;&#1068;&#1053;&#1067;&#1045;%20&#1059;&#1057;&#1051;&#1059;&#1043;&#1048;%20&#1085;&#1072;%202021%20&#1075;&#1086;&#1076;\&#1052;&#1055;%20&#1041;&#1046;&#1050;&#1061;\&#1041;&#1046;&#1050;&#1061;%20&#1042;&#1054;&#1044;&#1054;&#1055;&#1056;&#1054;&#1042;&#1054;&#1044;%202021%20&#1082;&#1086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4\&#1046;&#1050;&#1061;\&#1050;&#1054;&#1052;&#1052;&#1059;&#1053;&#1040;&#1051;&#1068;&#1053;&#1067;&#1045;%20&#1059;&#1057;&#1051;&#1059;&#1043;&#1048;%20&#1085;&#1072;%202021%20&#1075;&#1086;&#1076;\&#1055;&#1055;%20&#1042;&#1057;%20&#1042;&#1054;%202017-2023\&#1055;&#1055;%20&#1087;&#1083;&#1072;&#1085;%202019-2023%20&#1082;&#1086;&#1088;\&#1041;&#1046;&#1050;&#1061;\&#1061;&#1042;&#1057;%20&#1041;&#1046;&#1050;&#1061;%20&#1055;&#1055;%202019-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4\&#1046;&#1050;&#1061;\&#1050;&#1054;&#1052;&#1052;&#1059;&#1053;&#1040;&#1051;&#1068;&#1053;&#1067;&#1045;%20&#1059;&#1057;&#1051;&#1059;&#1043;&#1048;%20&#1085;&#1072;%202020%20&#1075;&#1086;&#1076;\&#1052;&#1055;%20&#1041;&#1046;&#1050;&#1061;\&#1041;&#1046;&#1050;&#1061;%20&#1042;&#1054;&#1044;&#1054;&#1055;&#1056;&#1054;&#1042;&#1054;&#1044;%202020%20&#1082;&#1086;&#108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3%20&#1075;&#1086;&#1076;/&#1052;&#1055;%20&#1041;&#1046;&#1050;&#1061;/&#1041;&#1046;&#1050;&#1061;%20&#1042;&#1054;&#1044;&#1054;&#1055;&#1056;&#1054;&#1042;&#1054;&#1044;%202023%20&#1082;&#1086;&#108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4\&#1086;&#1073;&#1097;&#1072;&#1103;\&#1055;&#1069;&#1054;\&#1076;&#1083;&#1103;%20&#1050;&#1040;&#1041;&#1067;&#1058;&#1063;&#1045;&#1053;&#1050;&#1054;\&#1086;&#1090;%20&#1040;&#1083;&#1077;&#1082;&#1089;&#1077;&#1077;&#1074;&#1086;&#1081;\&#1055;&#1055;_2019%20&#1092;&#1072;&#1082;&#1090;%20(&#1042;&#1057;,%20&#1042;&#1054;,%20&#1055;&#1042;)%20&#1073;&#1077;&#1079;%20&#1087;&#1088;&#1080;&#1083;.5\&#1061;&#1042;&#1057;%20&#1041;&#1046;&#1050;&#1061;%20&#1055;&#1055;%202019%20&#1092;&#1072;&#1082;&#1090;_&#1055;&#1058;&#105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4\&#1046;&#1050;&#1061;\&#1050;&#1054;&#1052;&#1052;&#1059;&#1053;&#1040;&#1051;&#1068;&#1053;&#1067;&#1045;%20&#1059;&#1057;&#1051;&#1059;&#1043;&#1048;%20&#1085;&#1072;%202019%20&#1075;&#1086;&#1076;\&#1052;&#1055;%20&#1046;&#1050;&#1061;%20&#1041;&#1080;&#1083;\&#1086;&#1090;%20&#1056;&#1054;\&#1058;&#1072;&#1088;&#1080;&#1092;&#1099;%20&#1042;&#1057;%20&#1052;&#1055;%20&#1046;&#1050;&#1061;%202019_2023\&#1058;&#1072;&#1088;&#1080;&#1092;%20&#1042;&#1057;%202019%20-%20&#1048;&#1083;&#1080;&#1088;&#1085;&#1077;&#1081;\1.%20&#1041;&#1080;&#1083;%20&#1052;&#1055;%20&#1046;&#1050;&#1061;%20&#1042;&#1057;%202019-2023_&#1048;&#1083;&#1080;&#1088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Билибино"/>
    </sheetNames>
    <sheetDataSet>
      <sheetData sheetId="0"/>
      <sheetData sheetId="1">
        <row r="8">
          <cell r="G8">
            <v>340934.87399999995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Свод села"/>
      <sheetName val="Свод"/>
      <sheetName val="Билиб"/>
      <sheetName val="Анюй"/>
      <sheetName val="Илир"/>
      <sheetName val="Кепер"/>
      <sheetName val="Омол"/>
      <sheetName val="Остров"/>
      <sheetName val="формула"/>
      <sheetName val="Суб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K13">
            <v>24805.870999999999</v>
          </cell>
        </row>
        <row r="15">
          <cell r="K15">
            <v>242.65</v>
          </cell>
        </row>
        <row r="18">
          <cell r="K18">
            <v>356.16699999999997</v>
          </cell>
        </row>
        <row r="22">
          <cell r="K22">
            <v>9114.8610000000008</v>
          </cell>
        </row>
        <row r="27">
          <cell r="K27">
            <v>11499.526</v>
          </cell>
        </row>
        <row r="28">
          <cell r="K28">
            <v>3308</v>
          </cell>
        </row>
        <row r="29">
          <cell r="K29">
            <v>284.66699999999997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3,4"/>
      <sheetName val="раздел 5"/>
    </sheetNames>
    <sheetDataSet>
      <sheetData sheetId="0" refreshError="1"/>
      <sheetData sheetId="1" refreshError="1">
        <row r="10">
          <cell r="AJ10">
            <v>19883.667000000001</v>
          </cell>
        </row>
        <row r="13">
          <cell r="BQ13">
            <v>24563.220999999998</v>
          </cell>
        </row>
        <row r="14">
          <cell r="BQ14">
            <v>356.16700000000003</v>
          </cell>
        </row>
        <row r="29">
          <cell r="AJ29">
            <v>0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Свод села"/>
      <sheetName val="Свод"/>
      <sheetName val="Билиб"/>
      <sheetName val="Анюй"/>
      <sheetName val="Илир"/>
      <sheetName val="Кепер"/>
      <sheetName val="Омол"/>
      <sheetName val="Остров"/>
      <sheetName val="формула"/>
      <sheetName val="Субс"/>
    </sheetNames>
    <sheetDataSet>
      <sheetData sheetId="0" refreshError="1">
        <row r="29">
          <cell r="L29">
            <v>15.361399302972318</v>
          </cell>
        </row>
      </sheetData>
      <sheetData sheetId="1" refreshError="1"/>
      <sheetData sheetId="2" refreshError="1"/>
      <sheetData sheetId="3" refreshError="1"/>
      <sheetData sheetId="4" refreshError="1">
        <row r="51">
          <cell r="Z51">
            <v>5575.1669225999985</v>
          </cell>
          <cell r="AH51">
            <v>5893.0531728342039</v>
          </cell>
          <cell r="AL51">
            <v>6067.487546750096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Свод села"/>
      <sheetName val="Свод"/>
      <sheetName val="Билиб"/>
      <sheetName val="Анюй"/>
      <sheetName val="Илир"/>
      <sheetName val="Кепер"/>
      <sheetName val="Омол"/>
      <sheetName val="Остров"/>
      <sheetName val="формула"/>
      <sheetName val="Суб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2">
          <cell r="I112">
            <v>98686.755235000004</v>
          </cell>
        </row>
        <row r="123">
          <cell r="I123">
            <v>76.650000000000006</v>
          </cell>
        </row>
      </sheetData>
      <sheetData sheetId="5">
        <row r="112">
          <cell r="I112">
            <v>16880.953690000002</v>
          </cell>
        </row>
        <row r="123">
          <cell r="I123">
            <v>17.690000000000001</v>
          </cell>
        </row>
      </sheetData>
      <sheetData sheetId="6">
        <row r="112">
          <cell r="I112">
            <v>12083.420160000001</v>
          </cell>
        </row>
        <row r="118">
          <cell r="I118">
            <v>91.64</v>
          </cell>
        </row>
        <row r="123">
          <cell r="I123">
            <v>17.690000000000001</v>
          </cell>
        </row>
      </sheetData>
      <sheetData sheetId="7">
        <row r="112">
          <cell r="I112">
            <v>7903.0709805999995</v>
          </cell>
        </row>
        <row r="118">
          <cell r="I118">
            <v>108.49</v>
          </cell>
        </row>
        <row r="123">
          <cell r="I123">
            <v>5.9</v>
          </cell>
        </row>
      </sheetData>
      <sheetData sheetId="8">
        <row r="112">
          <cell r="I112">
            <v>8325.0905999999995</v>
          </cell>
        </row>
        <row r="118">
          <cell r="I118">
            <v>204.99</v>
          </cell>
        </row>
        <row r="123">
          <cell r="I123">
            <v>17.690000000000001</v>
          </cell>
        </row>
      </sheetData>
      <sheetData sheetId="9">
        <row r="112">
          <cell r="I112">
            <v>7568.6331699999992</v>
          </cell>
        </row>
        <row r="118">
          <cell r="I118">
            <v>102.65</v>
          </cell>
        </row>
        <row r="123">
          <cell r="I123">
            <v>11.79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Билиб"/>
      <sheetName val=" Анюй"/>
      <sheetName val="Илир"/>
      <sheetName val="Кепер"/>
      <sheetName val="Омол"/>
      <sheetName val="Остров"/>
    </sheetNames>
    <sheetDataSet>
      <sheetData sheetId="0"/>
      <sheetData sheetId="1" refreshError="1">
        <row r="8">
          <cell r="AA8">
            <v>36426.913</v>
          </cell>
        </row>
        <row r="11">
          <cell r="G11">
            <v>1069099</v>
          </cell>
        </row>
        <row r="13">
          <cell r="G13">
            <v>1023397.704</v>
          </cell>
          <cell r="AA13">
            <v>34594.913</v>
          </cell>
          <cell r="AU13">
            <v>18239.131000000001</v>
          </cell>
          <cell r="BO13">
            <v>28675.21</v>
          </cell>
          <cell r="CI13">
            <v>20008.513999999999</v>
          </cell>
          <cell r="DC13">
            <v>25997.115999999998</v>
          </cell>
        </row>
        <row r="14">
          <cell r="G14">
            <v>110171.076</v>
          </cell>
          <cell r="AA14">
            <v>931</v>
          </cell>
          <cell r="BO14">
            <v>540.78700000000003</v>
          </cell>
          <cell r="CI14">
            <v>288.5</v>
          </cell>
          <cell r="DC14">
            <v>623.93200000000002</v>
          </cell>
        </row>
        <row r="15">
          <cell r="AU15">
            <v>153.72199999999998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4"/>
      <sheetName val="индексы"/>
      <sheetName val="индекс изм активов"/>
      <sheetName val="Илирней"/>
      <sheetName val="формула"/>
      <sheetName val="показатели"/>
      <sheetName val="материалы"/>
      <sheetName val="прил матер"/>
      <sheetName val="прил 1 к матер"/>
      <sheetName val="электро"/>
      <sheetName val="прил. электро"/>
      <sheetName val="тепло"/>
      <sheetName val="прил. тепло"/>
      <sheetName val="ФОТ"/>
      <sheetName val="Раздел 4.9"/>
      <sheetName val="прил. ФОТ"/>
      <sheetName val="проезд"/>
      <sheetName val="амортизация"/>
      <sheetName val="прил. аморт."/>
      <sheetName val="теплоноситель"/>
      <sheetName val="топливо"/>
      <sheetName val="прил 2 к топл"/>
      <sheetName val="вода"/>
      <sheetName val="кап влож"/>
      <sheetName val="Раздел 6"/>
      <sheetName val="Раздел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4">
          <cell r="K34">
            <v>41.499666666666663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6"/>
  <sheetViews>
    <sheetView workbookViewId="0">
      <selection activeCell="C2" sqref="C2"/>
    </sheetView>
  </sheetViews>
  <sheetFormatPr defaultColWidth="9.140625" defaultRowHeight="15.75" x14ac:dyDescent="0.25"/>
  <cols>
    <col min="1" max="1" width="49.7109375" style="4" customWidth="1"/>
    <col min="2" max="2" width="61.85546875" style="4" customWidth="1"/>
    <col min="3" max="3" width="7" style="4" customWidth="1"/>
    <col min="4" max="4" width="6.7109375" style="4" customWidth="1"/>
    <col min="5" max="16384" width="9.140625" style="4"/>
  </cols>
  <sheetData>
    <row r="1" spans="1:2" s="5" customFormat="1" ht="18.75" x14ac:dyDescent="0.3">
      <c r="A1" s="555" t="s">
        <v>87</v>
      </c>
      <c r="B1" s="555"/>
    </row>
    <row r="2" spans="1:2" s="5" customFormat="1" ht="18.75" customHeight="1" x14ac:dyDescent="0.3">
      <c r="A2" s="556" t="s">
        <v>239</v>
      </c>
      <c r="B2" s="556"/>
    </row>
    <row r="3" spans="1:2" s="5" customFormat="1" ht="19.5" customHeight="1" x14ac:dyDescent="0.3">
      <c r="A3" s="557"/>
      <c r="B3" s="558"/>
    </row>
    <row r="4" spans="1:2" s="5" customFormat="1" ht="18.75" customHeight="1" x14ac:dyDescent="0.3">
      <c r="A4" s="559" t="s">
        <v>78</v>
      </c>
      <c r="B4" s="559"/>
    </row>
    <row r="5" spans="1:2" ht="27" customHeight="1" x14ac:dyDescent="0.25">
      <c r="A5" s="6" t="s">
        <v>82</v>
      </c>
      <c r="B5" s="12" t="s">
        <v>79</v>
      </c>
    </row>
    <row r="6" spans="1:2" ht="36" customHeight="1" x14ac:dyDescent="0.25">
      <c r="A6" s="6" t="s">
        <v>83</v>
      </c>
      <c r="B6" s="1" t="s">
        <v>81</v>
      </c>
    </row>
    <row r="7" spans="1:2" ht="38.25" customHeight="1" x14ac:dyDescent="0.25">
      <c r="A7" s="6" t="s">
        <v>84</v>
      </c>
      <c r="B7" s="1" t="s">
        <v>80</v>
      </c>
    </row>
    <row r="8" spans="1:2" ht="27.75" customHeight="1" x14ac:dyDescent="0.25">
      <c r="A8" s="6" t="s">
        <v>85</v>
      </c>
      <c r="B8" s="12" t="s">
        <v>86</v>
      </c>
    </row>
    <row r="9" spans="1:2" s="9" customFormat="1" ht="21.75" customHeight="1" x14ac:dyDescent="0.25">
      <c r="A9" s="7"/>
      <c r="B9" s="8"/>
    </row>
    <row r="10" spans="1:2" ht="16.5" customHeight="1" x14ac:dyDescent="0.25"/>
    <row r="11" spans="1:2" x14ac:dyDescent="0.25">
      <c r="A11" s="68" t="s">
        <v>237</v>
      </c>
      <c r="B11" s="68" t="s">
        <v>238</v>
      </c>
    </row>
    <row r="12" spans="1:2" x14ac:dyDescent="0.25">
      <c r="A12" s="14" t="s">
        <v>143</v>
      </c>
      <c r="B12" s="14" t="s">
        <v>144</v>
      </c>
    </row>
    <row r="19" spans="1:3" x14ac:dyDescent="0.25">
      <c r="C19" s="10"/>
    </row>
    <row r="21" spans="1:3" x14ac:dyDescent="0.25">
      <c r="C21" s="11"/>
    </row>
    <row r="24" spans="1:3" s="9" customFormat="1" x14ac:dyDescent="0.25">
      <c r="A24" s="4"/>
      <c r="B24" s="4"/>
      <c r="C24" s="4"/>
    </row>
    <row r="25" spans="1:3" ht="15" customHeight="1" x14ac:dyDescent="0.25"/>
    <row r="26" spans="1:3" ht="31.5" customHeight="1" x14ac:dyDescent="0.25"/>
  </sheetData>
  <mergeCells count="4">
    <mergeCell ref="A1:B1"/>
    <mergeCell ref="A2:B2"/>
    <mergeCell ref="A3:B3"/>
    <mergeCell ref="A4:B4"/>
  </mergeCells>
  <phoneticPr fontId="3" type="noConversion"/>
  <printOptions horizontalCentered="1"/>
  <pageMargins left="1.1811023622047245" right="0.39370078740157483" top="0.39370078740157483" bottom="0.3937007874015748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X109"/>
  <sheetViews>
    <sheetView zoomScale="85" zoomScaleNormal="85" workbookViewId="0">
      <pane xSplit="3" ySplit="7" topLeftCell="D8" activePane="bottomRight" state="frozen"/>
      <selection activeCell="B58" sqref="B58"/>
      <selection pane="topRight" activeCell="B58" sqref="B58"/>
      <selection pane="bottomLeft" activeCell="B58" sqref="B58"/>
      <selection pane="bottomRight" activeCell="J21" sqref="J21"/>
    </sheetView>
  </sheetViews>
  <sheetFormatPr defaultColWidth="9.140625" defaultRowHeight="12.75" x14ac:dyDescent="0.2"/>
  <cols>
    <col min="1" max="1" width="6.7109375" style="32" customWidth="1"/>
    <col min="2" max="2" width="41" style="32" customWidth="1"/>
    <col min="3" max="3" width="12.140625" style="32" customWidth="1"/>
    <col min="4" max="4" width="12.85546875" style="32" customWidth="1"/>
    <col min="5" max="6" width="15" style="59" customWidth="1"/>
    <col min="7" max="7" width="14.140625" style="59" customWidth="1"/>
    <col min="8" max="8" width="12.28515625" style="32" customWidth="1"/>
    <col min="9" max="10" width="12.28515625" style="59" customWidth="1"/>
    <col min="11" max="11" width="14.42578125" style="59" customWidth="1"/>
    <col min="12" max="15" width="14.42578125" style="32" customWidth="1"/>
    <col min="16" max="19" width="14.42578125" style="32" hidden="1" customWidth="1"/>
    <col min="20" max="23" width="12.28515625" style="32" hidden="1" customWidth="1"/>
    <col min="24" max="24" width="11.7109375" style="32" customWidth="1"/>
    <col min="25" max="26" width="14" style="59" customWidth="1"/>
    <col min="27" max="27" width="12.28515625" style="59" customWidth="1"/>
    <col min="28" max="28" width="11.7109375" style="32" customWidth="1"/>
    <col min="29" max="31" width="12.28515625" style="59" customWidth="1"/>
    <col min="32" max="35" width="12.28515625" style="32" customWidth="1"/>
    <col min="36" max="39" width="12.28515625" style="32" hidden="1" customWidth="1"/>
    <col min="40" max="43" width="11.7109375" style="32" hidden="1" customWidth="1"/>
    <col min="44" max="44" width="11.7109375" style="32" customWidth="1"/>
    <col min="45" max="46" width="14.5703125" style="32" customWidth="1"/>
    <col min="47" max="47" width="12.28515625" style="32" customWidth="1"/>
    <col min="48" max="48" width="11.7109375" style="32" customWidth="1"/>
    <col min="49" max="51" width="12.28515625" style="59" customWidth="1"/>
    <col min="52" max="55" width="12.28515625" style="32" customWidth="1"/>
    <col min="56" max="59" width="12.28515625" style="32" hidden="1" customWidth="1"/>
    <col min="60" max="63" width="11.7109375" style="32" hidden="1" customWidth="1"/>
    <col min="64" max="64" width="11.7109375" style="32" customWidth="1"/>
    <col min="65" max="66" width="14" style="59" customWidth="1"/>
    <col min="67" max="67" width="12.28515625" style="59" customWidth="1"/>
    <col min="68" max="68" width="11.7109375" style="32" customWidth="1"/>
    <col min="69" max="71" width="12.28515625" style="59" customWidth="1"/>
    <col min="72" max="75" width="12.28515625" style="32" customWidth="1"/>
    <col min="76" max="79" width="12.28515625" style="32" hidden="1" customWidth="1"/>
    <col min="80" max="83" width="11.7109375" style="32" hidden="1" customWidth="1"/>
    <col min="84" max="84" width="11.7109375" style="32" customWidth="1"/>
    <col min="85" max="86" width="13.7109375" style="59" customWidth="1"/>
    <col min="87" max="87" width="12.28515625" style="59" customWidth="1"/>
    <col min="88" max="88" width="11.7109375" style="32" customWidth="1"/>
    <col min="89" max="91" width="12.28515625" style="59" customWidth="1"/>
    <col min="92" max="95" width="12.28515625" style="32" customWidth="1"/>
    <col min="96" max="99" width="12.28515625" style="32" hidden="1" customWidth="1"/>
    <col min="100" max="103" width="11.7109375" style="32" hidden="1" customWidth="1"/>
    <col min="104" max="104" width="11.7109375" style="32" customWidth="1"/>
    <col min="105" max="106" width="13.7109375" style="59" customWidth="1"/>
    <col min="107" max="107" width="12.28515625" style="59" customWidth="1"/>
    <col min="108" max="108" width="11.7109375" style="32" customWidth="1"/>
    <col min="109" max="111" width="12.28515625" style="59" customWidth="1"/>
    <col min="112" max="115" width="12.28515625" style="32" customWidth="1"/>
    <col min="116" max="119" width="12.28515625" style="32" hidden="1" customWidth="1"/>
    <col min="120" max="123" width="11.7109375" style="32" hidden="1" customWidth="1"/>
    <col min="124" max="16384" width="9.140625" style="32"/>
  </cols>
  <sheetData>
    <row r="1" spans="1:124" s="17" customFormat="1" ht="23.25" customHeight="1" x14ac:dyDescent="0.3">
      <c r="A1" s="576" t="s">
        <v>138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64"/>
      <c r="AA1" s="64"/>
      <c r="AB1" s="15"/>
      <c r="AC1" s="64"/>
      <c r="AD1" s="64"/>
      <c r="AE1" s="64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64"/>
      <c r="AX1" s="64"/>
      <c r="AY1" s="64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64"/>
      <c r="BN1" s="64"/>
      <c r="BO1" s="64"/>
      <c r="BP1" s="15"/>
      <c r="BQ1" s="64"/>
      <c r="BR1" s="64"/>
      <c r="BS1" s="64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64"/>
      <c r="CH1" s="64"/>
      <c r="CI1" s="64"/>
      <c r="CJ1" s="15"/>
      <c r="CK1" s="64"/>
      <c r="CL1" s="64"/>
      <c r="CM1" s="64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6"/>
      <c r="DA1" s="65"/>
      <c r="DB1" s="65"/>
      <c r="DC1" s="65"/>
      <c r="DD1" s="16"/>
      <c r="DE1" s="65"/>
      <c r="DF1" s="65"/>
      <c r="DG1" s="65"/>
      <c r="DH1" s="16"/>
      <c r="DI1" s="16"/>
      <c r="DJ1" s="16"/>
      <c r="DK1" s="16"/>
      <c r="DL1" s="16"/>
      <c r="DM1" s="16"/>
      <c r="DN1" s="16"/>
      <c r="DO1" s="16"/>
      <c r="DP1" s="16"/>
    </row>
    <row r="2" spans="1:124" s="17" customFormat="1" ht="19.5" customHeight="1" x14ac:dyDescent="0.3">
      <c r="A2" s="577" t="s">
        <v>88</v>
      </c>
      <c r="B2" s="580" t="s">
        <v>89</v>
      </c>
      <c r="C2" s="580" t="s">
        <v>26</v>
      </c>
      <c r="D2" s="581" t="s">
        <v>136</v>
      </c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  <c r="AY2" s="582"/>
      <c r="AZ2" s="582"/>
      <c r="BA2" s="582"/>
      <c r="BB2" s="582"/>
      <c r="BC2" s="582"/>
      <c r="BD2" s="582"/>
      <c r="BE2" s="582"/>
      <c r="BF2" s="582"/>
      <c r="BG2" s="582"/>
      <c r="BH2" s="582"/>
      <c r="BI2" s="582"/>
      <c r="BJ2" s="582"/>
      <c r="BK2" s="582"/>
      <c r="BL2" s="582"/>
      <c r="BM2" s="582"/>
      <c r="BN2" s="582"/>
      <c r="BO2" s="582"/>
      <c r="BP2" s="582"/>
      <c r="BQ2" s="582"/>
      <c r="BR2" s="582"/>
      <c r="BS2" s="582"/>
      <c r="BT2" s="582"/>
      <c r="BU2" s="582"/>
      <c r="BV2" s="582"/>
      <c r="BW2" s="582"/>
      <c r="BX2" s="582"/>
      <c r="BY2" s="582"/>
      <c r="BZ2" s="582"/>
      <c r="CA2" s="582"/>
      <c r="CB2" s="582"/>
      <c r="CC2" s="582"/>
      <c r="CD2" s="582"/>
      <c r="CE2" s="582"/>
      <c r="CF2" s="582"/>
      <c r="CG2" s="582"/>
      <c r="CH2" s="582"/>
      <c r="CI2" s="582"/>
      <c r="CJ2" s="582"/>
      <c r="CK2" s="582"/>
      <c r="CL2" s="582"/>
      <c r="CM2" s="582"/>
      <c r="CN2" s="582"/>
      <c r="CO2" s="582"/>
      <c r="CP2" s="582"/>
      <c r="CQ2" s="582"/>
      <c r="CR2" s="582"/>
      <c r="CS2" s="582"/>
      <c r="CT2" s="582"/>
      <c r="CU2" s="582"/>
      <c r="CV2" s="582"/>
      <c r="CW2" s="582"/>
      <c r="CX2" s="582"/>
      <c r="CY2" s="582"/>
      <c r="CZ2" s="582"/>
      <c r="DA2" s="582"/>
      <c r="DB2" s="582"/>
      <c r="DC2" s="582"/>
      <c r="DD2" s="582"/>
      <c r="DE2" s="582"/>
      <c r="DF2" s="582"/>
      <c r="DG2" s="582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2"/>
      <c r="DT2" s="37"/>
    </row>
    <row r="3" spans="1:124" s="18" customFormat="1" ht="15" customHeight="1" x14ac:dyDescent="0.2">
      <c r="A3" s="578"/>
      <c r="B3" s="580"/>
      <c r="C3" s="580"/>
      <c r="D3" s="573" t="s">
        <v>130</v>
      </c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5"/>
      <c r="X3" s="573" t="s">
        <v>131</v>
      </c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5"/>
      <c r="AR3" s="573" t="s">
        <v>132</v>
      </c>
      <c r="AS3" s="574"/>
      <c r="AT3" s="574"/>
      <c r="AU3" s="574"/>
      <c r="AV3" s="574"/>
      <c r="AW3" s="574"/>
      <c r="AX3" s="574"/>
      <c r="AY3" s="574"/>
      <c r="AZ3" s="574"/>
      <c r="BA3" s="574"/>
      <c r="BB3" s="574"/>
      <c r="BC3" s="574"/>
      <c r="BD3" s="574"/>
      <c r="BE3" s="574"/>
      <c r="BF3" s="574"/>
      <c r="BG3" s="574"/>
      <c r="BH3" s="574"/>
      <c r="BI3" s="574"/>
      <c r="BJ3" s="574"/>
      <c r="BK3" s="575"/>
      <c r="BL3" s="573" t="s">
        <v>133</v>
      </c>
      <c r="BM3" s="574"/>
      <c r="BN3" s="574"/>
      <c r="BO3" s="574"/>
      <c r="BP3" s="574"/>
      <c r="BQ3" s="574"/>
      <c r="BR3" s="574"/>
      <c r="BS3" s="574"/>
      <c r="BT3" s="574"/>
      <c r="BU3" s="574"/>
      <c r="BV3" s="574"/>
      <c r="BW3" s="574"/>
      <c r="BX3" s="574"/>
      <c r="BY3" s="574"/>
      <c r="BZ3" s="574"/>
      <c r="CA3" s="574"/>
      <c r="CB3" s="574"/>
      <c r="CC3" s="574"/>
      <c r="CD3" s="574"/>
      <c r="CE3" s="575"/>
      <c r="CF3" s="573" t="s">
        <v>134</v>
      </c>
      <c r="CG3" s="574"/>
      <c r="CH3" s="574"/>
      <c r="CI3" s="574"/>
      <c r="CJ3" s="574"/>
      <c r="CK3" s="574"/>
      <c r="CL3" s="574"/>
      <c r="CM3" s="574"/>
      <c r="CN3" s="574"/>
      <c r="CO3" s="574"/>
      <c r="CP3" s="574"/>
      <c r="CQ3" s="574"/>
      <c r="CR3" s="574"/>
      <c r="CS3" s="574"/>
      <c r="CT3" s="574"/>
      <c r="CU3" s="574"/>
      <c r="CV3" s="574"/>
      <c r="CW3" s="574"/>
      <c r="CX3" s="574"/>
      <c r="CY3" s="575"/>
      <c r="CZ3" s="573" t="s">
        <v>135</v>
      </c>
      <c r="DA3" s="574"/>
      <c r="DB3" s="574"/>
      <c r="DC3" s="574"/>
      <c r="DD3" s="574"/>
      <c r="DE3" s="574"/>
      <c r="DF3" s="574"/>
      <c r="DG3" s="574"/>
      <c r="DH3" s="574"/>
      <c r="DI3" s="574"/>
      <c r="DJ3" s="574"/>
      <c r="DK3" s="574"/>
      <c r="DL3" s="574"/>
      <c r="DM3" s="574"/>
      <c r="DN3" s="574"/>
      <c r="DO3" s="574"/>
      <c r="DP3" s="574"/>
      <c r="DQ3" s="574"/>
      <c r="DR3" s="574"/>
      <c r="DS3" s="575"/>
      <c r="DT3" s="38"/>
    </row>
    <row r="4" spans="1:124" s="18" customFormat="1" ht="15" customHeight="1" x14ac:dyDescent="0.2">
      <c r="A4" s="578"/>
      <c r="B4" s="580"/>
      <c r="C4" s="580"/>
      <c r="D4" s="570" t="s">
        <v>145</v>
      </c>
      <c r="E4" s="571"/>
      <c r="F4" s="571"/>
      <c r="G4" s="572"/>
      <c r="H4" s="564" t="s">
        <v>146</v>
      </c>
      <c r="I4" s="565"/>
      <c r="J4" s="565"/>
      <c r="K4" s="566"/>
      <c r="L4" s="564" t="s">
        <v>147</v>
      </c>
      <c r="M4" s="565"/>
      <c r="N4" s="565"/>
      <c r="O4" s="566"/>
      <c r="P4" s="564" t="s">
        <v>148</v>
      </c>
      <c r="Q4" s="565"/>
      <c r="R4" s="565"/>
      <c r="S4" s="566"/>
      <c r="T4" s="564" t="s">
        <v>149</v>
      </c>
      <c r="U4" s="565"/>
      <c r="V4" s="565"/>
      <c r="W4" s="566"/>
      <c r="X4" s="570" t="s">
        <v>145</v>
      </c>
      <c r="Y4" s="571"/>
      <c r="Z4" s="571"/>
      <c r="AA4" s="572"/>
      <c r="AB4" s="564" t="s">
        <v>146</v>
      </c>
      <c r="AC4" s="565"/>
      <c r="AD4" s="565"/>
      <c r="AE4" s="566"/>
      <c r="AF4" s="564" t="s">
        <v>147</v>
      </c>
      <c r="AG4" s="565"/>
      <c r="AH4" s="565"/>
      <c r="AI4" s="566"/>
      <c r="AJ4" s="564" t="s">
        <v>148</v>
      </c>
      <c r="AK4" s="565"/>
      <c r="AL4" s="565"/>
      <c r="AM4" s="566"/>
      <c r="AN4" s="564" t="s">
        <v>150</v>
      </c>
      <c r="AO4" s="565"/>
      <c r="AP4" s="565"/>
      <c r="AQ4" s="566"/>
      <c r="AR4" s="570" t="s">
        <v>145</v>
      </c>
      <c r="AS4" s="571"/>
      <c r="AT4" s="571"/>
      <c r="AU4" s="572"/>
      <c r="AV4" s="564" t="s">
        <v>146</v>
      </c>
      <c r="AW4" s="565"/>
      <c r="AX4" s="565"/>
      <c r="AY4" s="566"/>
      <c r="AZ4" s="564" t="s">
        <v>147</v>
      </c>
      <c r="BA4" s="565"/>
      <c r="BB4" s="565"/>
      <c r="BC4" s="566"/>
      <c r="BD4" s="564" t="s">
        <v>148</v>
      </c>
      <c r="BE4" s="565"/>
      <c r="BF4" s="565"/>
      <c r="BG4" s="566"/>
      <c r="BH4" s="564" t="s">
        <v>150</v>
      </c>
      <c r="BI4" s="565"/>
      <c r="BJ4" s="565"/>
      <c r="BK4" s="566"/>
      <c r="BL4" s="570" t="s">
        <v>145</v>
      </c>
      <c r="BM4" s="571"/>
      <c r="BN4" s="571"/>
      <c r="BO4" s="572"/>
      <c r="BP4" s="564" t="s">
        <v>146</v>
      </c>
      <c r="BQ4" s="565"/>
      <c r="BR4" s="565"/>
      <c r="BS4" s="566"/>
      <c r="BT4" s="564" t="s">
        <v>147</v>
      </c>
      <c r="BU4" s="565"/>
      <c r="BV4" s="565"/>
      <c r="BW4" s="566"/>
      <c r="BX4" s="564" t="s">
        <v>148</v>
      </c>
      <c r="BY4" s="565"/>
      <c r="BZ4" s="565"/>
      <c r="CA4" s="566"/>
      <c r="CB4" s="564" t="s">
        <v>150</v>
      </c>
      <c r="CC4" s="565"/>
      <c r="CD4" s="565"/>
      <c r="CE4" s="566"/>
      <c r="CF4" s="570" t="s">
        <v>145</v>
      </c>
      <c r="CG4" s="571"/>
      <c r="CH4" s="571"/>
      <c r="CI4" s="572"/>
      <c r="CJ4" s="564" t="s">
        <v>146</v>
      </c>
      <c r="CK4" s="565"/>
      <c r="CL4" s="565"/>
      <c r="CM4" s="566"/>
      <c r="CN4" s="564" t="s">
        <v>147</v>
      </c>
      <c r="CO4" s="565"/>
      <c r="CP4" s="565"/>
      <c r="CQ4" s="566"/>
      <c r="CR4" s="564" t="s">
        <v>148</v>
      </c>
      <c r="CS4" s="565"/>
      <c r="CT4" s="565"/>
      <c r="CU4" s="566"/>
      <c r="CV4" s="564" t="s">
        <v>150</v>
      </c>
      <c r="CW4" s="565"/>
      <c r="CX4" s="565"/>
      <c r="CY4" s="566"/>
      <c r="CZ4" s="562" t="s">
        <v>145</v>
      </c>
      <c r="DA4" s="562"/>
      <c r="DB4" s="562"/>
      <c r="DC4" s="562"/>
      <c r="DD4" s="563" t="s">
        <v>146</v>
      </c>
      <c r="DE4" s="563"/>
      <c r="DF4" s="563"/>
      <c r="DG4" s="563"/>
      <c r="DH4" s="563" t="s">
        <v>147</v>
      </c>
      <c r="DI4" s="563"/>
      <c r="DJ4" s="563"/>
      <c r="DK4" s="563"/>
      <c r="DL4" s="563" t="s">
        <v>148</v>
      </c>
      <c r="DM4" s="563"/>
      <c r="DN4" s="563"/>
      <c r="DO4" s="563"/>
      <c r="DP4" s="563" t="s">
        <v>150</v>
      </c>
      <c r="DQ4" s="563"/>
      <c r="DR4" s="563"/>
      <c r="DS4" s="563"/>
      <c r="DT4" s="38"/>
    </row>
    <row r="5" spans="1:124" s="18" customFormat="1" ht="15" customHeight="1" x14ac:dyDescent="0.2">
      <c r="A5" s="578"/>
      <c r="B5" s="580"/>
      <c r="C5" s="580"/>
      <c r="D5" s="113" t="s">
        <v>90</v>
      </c>
      <c r="E5" s="567" t="s">
        <v>91</v>
      </c>
      <c r="F5" s="568"/>
      <c r="G5" s="569"/>
      <c r="H5" s="113" t="s">
        <v>90</v>
      </c>
      <c r="I5" s="567" t="s">
        <v>91</v>
      </c>
      <c r="J5" s="568"/>
      <c r="K5" s="569"/>
      <c r="L5" s="113" t="s">
        <v>90</v>
      </c>
      <c r="M5" s="567" t="s">
        <v>91</v>
      </c>
      <c r="N5" s="568"/>
      <c r="O5" s="569"/>
      <c r="P5" s="113" t="s">
        <v>90</v>
      </c>
      <c r="Q5" s="567" t="s">
        <v>91</v>
      </c>
      <c r="R5" s="568"/>
      <c r="S5" s="569"/>
      <c r="T5" s="113" t="s">
        <v>90</v>
      </c>
      <c r="U5" s="567" t="s">
        <v>91</v>
      </c>
      <c r="V5" s="568"/>
      <c r="W5" s="569"/>
      <c r="X5" s="113" t="s">
        <v>90</v>
      </c>
      <c r="Y5" s="567" t="s">
        <v>91</v>
      </c>
      <c r="Z5" s="568"/>
      <c r="AA5" s="569"/>
      <c r="AB5" s="113" t="s">
        <v>90</v>
      </c>
      <c r="AC5" s="567" t="s">
        <v>91</v>
      </c>
      <c r="AD5" s="568"/>
      <c r="AE5" s="569"/>
      <c r="AF5" s="113" t="s">
        <v>90</v>
      </c>
      <c r="AG5" s="567" t="s">
        <v>91</v>
      </c>
      <c r="AH5" s="568"/>
      <c r="AI5" s="569"/>
      <c r="AJ5" s="113" t="s">
        <v>90</v>
      </c>
      <c r="AK5" s="567" t="s">
        <v>91</v>
      </c>
      <c r="AL5" s="568"/>
      <c r="AM5" s="569"/>
      <c r="AN5" s="113" t="s">
        <v>90</v>
      </c>
      <c r="AO5" s="567" t="s">
        <v>91</v>
      </c>
      <c r="AP5" s="568"/>
      <c r="AQ5" s="569"/>
      <c r="AR5" s="113" t="s">
        <v>90</v>
      </c>
      <c r="AS5" s="567" t="s">
        <v>91</v>
      </c>
      <c r="AT5" s="568"/>
      <c r="AU5" s="569"/>
      <c r="AV5" s="113" t="s">
        <v>90</v>
      </c>
      <c r="AW5" s="567" t="s">
        <v>91</v>
      </c>
      <c r="AX5" s="568"/>
      <c r="AY5" s="569"/>
      <c r="AZ5" s="113" t="s">
        <v>90</v>
      </c>
      <c r="BA5" s="567" t="s">
        <v>91</v>
      </c>
      <c r="BB5" s="568"/>
      <c r="BC5" s="569"/>
      <c r="BD5" s="113" t="s">
        <v>90</v>
      </c>
      <c r="BE5" s="567" t="s">
        <v>91</v>
      </c>
      <c r="BF5" s="568"/>
      <c r="BG5" s="569"/>
      <c r="BH5" s="113" t="s">
        <v>90</v>
      </c>
      <c r="BI5" s="567" t="s">
        <v>91</v>
      </c>
      <c r="BJ5" s="568"/>
      <c r="BK5" s="569"/>
      <c r="BL5" s="113" t="s">
        <v>90</v>
      </c>
      <c r="BM5" s="567" t="s">
        <v>91</v>
      </c>
      <c r="BN5" s="568"/>
      <c r="BO5" s="569"/>
      <c r="BP5" s="113" t="s">
        <v>90</v>
      </c>
      <c r="BQ5" s="567" t="s">
        <v>91</v>
      </c>
      <c r="BR5" s="568"/>
      <c r="BS5" s="569"/>
      <c r="BT5" s="113" t="s">
        <v>90</v>
      </c>
      <c r="BU5" s="567" t="s">
        <v>91</v>
      </c>
      <c r="BV5" s="568"/>
      <c r="BW5" s="569"/>
      <c r="BX5" s="113" t="s">
        <v>90</v>
      </c>
      <c r="BY5" s="567" t="s">
        <v>91</v>
      </c>
      <c r="BZ5" s="568"/>
      <c r="CA5" s="569"/>
      <c r="CB5" s="113" t="s">
        <v>90</v>
      </c>
      <c r="CC5" s="567" t="s">
        <v>91</v>
      </c>
      <c r="CD5" s="568"/>
      <c r="CE5" s="569"/>
      <c r="CF5" s="113" t="s">
        <v>90</v>
      </c>
      <c r="CG5" s="567" t="s">
        <v>91</v>
      </c>
      <c r="CH5" s="568"/>
      <c r="CI5" s="569"/>
      <c r="CJ5" s="113" t="s">
        <v>90</v>
      </c>
      <c r="CK5" s="567" t="s">
        <v>91</v>
      </c>
      <c r="CL5" s="568"/>
      <c r="CM5" s="569"/>
      <c r="CN5" s="113" t="s">
        <v>90</v>
      </c>
      <c r="CO5" s="567" t="s">
        <v>91</v>
      </c>
      <c r="CP5" s="568"/>
      <c r="CQ5" s="569"/>
      <c r="CR5" s="113" t="s">
        <v>90</v>
      </c>
      <c r="CS5" s="567" t="s">
        <v>91</v>
      </c>
      <c r="CT5" s="568"/>
      <c r="CU5" s="569"/>
      <c r="CV5" s="113" t="s">
        <v>90</v>
      </c>
      <c r="CW5" s="567" t="s">
        <v>91</v>
      </c>
      <c r="CX5" s="568"/>
      <c r="CY5" s="569"/>
      <c r="CZ5" s="113" t="s">
        <v>90</v>
      </c>
      <c r="DA5" s="567" t="s">
        <v>91</v>
      </c>
      <c r="DB5" s="568"/>
      <c r="DC5" s="569"/>
      <c r="DD5" s="113" t="s">
        <v>90</v>
      </c>
      <c r="DE5" s="567" t="s">
        <v>91</v>
      </c>
      <c r="DF5" s="568"/>
      <c r="DG5" s="569"/>
      <c r="DH5" s="113" t="s">
        <v>90</v>
      </c>
      <c r="DI5" s="567" t="s">
        <v>91</v>
      </c>
      <c r="DJ5" s="568"/>
      <c r="DK5" s="569"/>
      <c r="DL5" s="113" t="s">
        <v>90</v>
      </c>
      <c r="DM5" s="567" t="s">
        <v>91</v>
      </c>
      <c r="DN5" s="568"/>
      <c r="DO5" s="569"/>
      <c r="DP5" s="113" t="s">
        <v>90</v>
      </c>
      <c r="DQ5" s="567" t="s">
        <v>91</v>
      </c>
      <c r="DR5" s="568"/>
      <c r="DS5" s="569"/>
      <c r="DT5" s="38"/>
    </row>
    <row r="6" spans="1:124" s="18" customFormat="1" ht="19.5" customHeight="1" x14ac:dyDescent="0.2">
      <c r="A6" s="579"/>
      <c r="B6" s="580"/>
      <c r="C6" s="580"/>
      <c r="D6" s="113" t="s">
        <v>92</v>
      </c>
      <c r="E6" s="113" t="s">
        <v>93</v>
      </c>
      <c r="F6" s="113" t="s">
        <v>94</v>
      </c>
      <c r="G6" s="114">
        <f>G19-'[1]раздел 2'!$G$8</f>
        <v>58176.36400000006</v>
      </c>
      <c r="H6" s="113" t="s">
        <v>92</v>
      </c>
      <c r="I6" s="113" t="s">
        <v>93</v>
      </c>
      <c r="J6" s="113" t="s">
        <v>94</v>
      </c>
      <c r="K6" s="113" t="s">
        <v>92</v>
      </c>
      <c r="L6" s="113" t="s">
        <v>92</v>
      </c>
      <c r="M6" s="113" t="s">
        <v>93</v>
      </c>
      <c r="N6" s="113" t="s">
        <v>94</v>
      </c>
      <c r="O6" s="113" t="s">
        <v>92</v>
      </c>
      <c r="P6" s="113" t="s">
        <v>92</v>
      </c>
      <c r="Q6" s="113" t="s">
        <v>93</v>
      </c>
      <c r="R6" s="113" t="s">
        <v>94</v>
      </c>
      <c r="S6" s="113" t="s">
        <v>92</v>
      </c>
      <c r="T6" s="113" t="s">
        <v>92</v>
      </c>
      <c r="U6" s="113" t="s">
        <v>93</v>
      </c>
      <c r="V6" s="113" t="s">
        <v>94</v>
      </c>
      <c r="W6" s="113" t="s">
        <v>92</v>
      </c>
      <c r="X6" s="113" t="s">
        <v>92</v>
      </c>
      <c r="Y6" s="113" t="s">
        <v>93</v>
      </c>
      <c r="Z6" s="113" t="s">
        <v>94</v>
      </c>
      <c r="AA6" s="113" t="s">
        <v>92</v>
      </c>
      <c r="AB6" s="113" t="s">
        <v>92</v>
      </c>
      <c r="AC6" s="113" t="s">
        <v>93</v>
      </c>
      <c r="AD6" s="113" t="s">
        <v>94</v>
      </c>
      <c r="AE6" s="113" t="s">
        <v>92</v>
      </c>
      <c r="AF6" s="113" t="s">
        <v>92</v>
      </c>
      <c r="AG6" s="113" t="s">
        <v>93</v>
      </c>
      <c r="AH6" s="113" t="s">
        <v>94</v>
      </c>
      <c r="AI6" s="113" t="s">
        <v>92</v>
      </c>
      <c r="AJ6" s="113" t="s">
        <v>92</v>
      </c>
      <c r="AK6" s="113" t="s">
        <v>93</v>
      </c>
      <c r="AL6" s="113" t="s">
        <v>94</v>
      </c>
      <c r="AM6" s="113" t="s">
        <v>92</v>
      </c>
      <c r="AN6" s="113" t="s">
        <v>92</v>
      </c>
      <c r="AO6" s="113" t="s">
        <v>93</v>
      </c>
      <c r="AP6" s="113" t="s">
        <v>94</v>
      </c>
      <c r="AQ6" s="113" t="s">
        <v>92</v>
      </c>
      <c r="AR6" s="113" t="s">
        <v>92</v>
      </c>
      <c r="AS6" s="113" t="s">
        <v>93</v>
      </c>
      <c r="AT6" s="113" t="s">
        <v>94</v>
      </c>
      <c r="AU6" s="113" t="s">
        <v>92</v>
      </c>
      <c r="AV6" s="113" t="s">
        <v>92</v>
      </c>
      <c r="AW6" s="113" t="s">
        <v>93</v>
      </c>
      <c r="AX6" s="113" t="s">
        <v>94</v>
      </c>
      <c r="AY6" s="113" t="s">
        <v>92</v>
      </c>
      <c r="AZ6" s="113" t="s">
        <v>92</v>
      </c>
      <c r="BA6" s="113" t="s">
        <v>93</v>
      </c>
      <c r="BB6" s="113" t="s">
        <v>94</v>
      </c>
      <c r="BC6" s="113" t="s">
        <v>92</v>
      </c>
      <c r="BD6" s="113" t="s">
        <v>92</v>
      </c>
      <c r="BE6" s="113" t="s">
        <v>93</v>
      </c>
      <c r="BF6" s="113" t="s">
        <v>94</v>
      </c>
      <c r="BG6" s="113" t="s">
        <v>92</v>
      </c>
      <c r="BH6" s="113" t="s">
        <v>92</v>
      </c>
      <c r="BI6" s="113" t="s">
        <v>93</v>
      </c>
      <c r="BJ6" s="113" t="s">
        <v>94</v>
      </c>
      <c r="BK6" s="113" t="s">
        <v>92</v>
      </c>
      <c r="BL6" s="113" t="s">
        <v>92</v>
      </c>
      <c r="BM6" s="113" t="s">
        <v>93</v>
      </c>
      <c r="BN6" s="113" t="s">
        <v>94</v>
      </c>
      <c r="BO6" s="113" t="s">
        <v>92</v>
      </c>
      <c r="BP6" s="113" t="s">
        <v>92</v>
      </c>
      <c r="BQ6" s="113" t="s">
        <v>93</v>
      </c>
      <c r="BR6" s="113" t="s">
        <v>94</v>
      </c>
      <c r="BS6" s="113" t="s">
        <v>92</v>
      </c>
      <c r="BT6" s="113" t="s">
        <v>92</v>
      </c>
      <c r="BU6" s="113" t="s">
        <v>93</v>
      </c>
      <c r="BV6" s="113" t="s">
        <v>94</v>
      </c>
      <c r="BW6" s="113" t="s">
        <v>92</v>
      </c>
      <c r="BX6" s="113" t="s">
        <v>92</v>
      </c>
      <c r="BY6" s="113" t="s">
        <v>93</v>
      </c>
      <c r="BZ6" s="113" t="s">
        <v>94</v>
      </c>
      <c r="CA6" s="113" t="s">
        <v>92</v>
      </c>
      <c r="CB6" s="113" t="s">
        <v>92</v>
      </c>
      <c r="CC6" s="113" t="s">
        <v>93</v>
      </c>
      <c r="CD6" s="113" t="s">
        <v>94</v>
      </c>
      <c r="CE6" s="113" t="s">
        <v>92</v>
      </c>
      <c r="CF6" s="113" t="s">
        <v>92</v>
      </c>
      <c r="CG6" s="113" t="s">
        <v>93</v>
      </c>
      <c r="CH6" s="113" t="s">
        <v>94</v>
      </c>
      <c r="CI6" s="113" t="s">
        <v>92</v>
      </c>
      <c r="CJ6" s="113" t="s">
        <v>92</v>
      </c>
      <c r="CK6" s="113" t="s">
        <v>93</v>
      </c>
      <c r="CL6" s="113" t="s">
        <v>94</v>
      </c>
      <c r="CM6" s="113" t="s">
        <v>92</v>
      </c>
      <c r="CN6" s="113" t="s">
        <v>92</v>
      </c>
      <c r="CO6" s="113" t="s">
        <v>93</v>
      </c>
      <c r="CP6" s="113" t="s">
        <v>94</v>
      </c>
      <c r="CQ6" s="113" t="s">
        <v>92</v>
      </c>
      <c r="CR6" s="113" t="s">
        <v>92</v>
      </c>
      <c r="CS6" s="113" t="s">
        <v>93</v>
      </c>
      <c r="CT6" s="113" t="s">
        <v>94</v>
      </c>
      <c r="CU6" s="113" t="s">
        <v>92</v>
      </c>
      <c r="CV6" s="113" t="s">
        <v>92</v>
      </c>
      <c r="CW6" s="113" t="s">
        <v>93</v>
      </c>
      <c r="CX6" s="113" t="s">
        <v>94</v>
      </c>
      <c r="CY6" s="113" t="s">
        <v>92</v>
      </c>
      <c r="CZ6" s="113" t="s">
        <v>92</v>
      </c>
      <c r="DA6" s="113" t="s">
        <v>93</v>
      </c>
      <c r="DB6" s="113" t="s">
        <v>94</v>
      </c>
      <c r="DC6" s="113" t="s">
        <v>92</v>
      </c>
      <c r="DD6" s="113" t="s">
        <v>92</v>
      </c>
      <c r="DE6" s="113" t="s">
        <v>93</v>
      </c>
      <c r="DF6" s="113" t="s">
        <v>94</v>
      </c>
      <c r="DG6" s="113" t="s">
        <v>92</v>
      </c>
      <c r="DH6" s="113" t="s">
        <v>92</v>
      </c>
      <c r="DI6" s="113" t="s">
        <v>93</v>
      </c>
      <c r="DJ6" s="113" t="s">
        <v>94</v>
      </c>
      <c r="DK6" s="113" t="s">
        <v>92</v>
      </c>
      <c r="DL6" s="113" t="s">
        <v>92</v>
      </c>
      <c r="DM6" s="113" t="s">
        <v>93</v>
      </c>
      <c r="DN6" s="113" t="s">
        <v>94</v>
      </c>
      <c r="DO6" s="113" t="s">
        <v>92</v>
      </c>
      <c r="DP6" s="113" t="s">
        <v>92</v>
      </c>
      <c r="DQ6" s="113" t="s">
        <v>93</v>
      </c>
      <c r="DR6" s="113" t="s">
        <v>94</v>
      </c>
      <c r="DS6" s="113" t="s">
        <v>92</v>
      </c>
      <c r="DT6" s="38"/>
    </row>
    <row r="7" spans="1:124" s="20" customFormat="1" ht="15" x14ac:dyDescent="0.2">
      <c r="A7" s="19">
        <v>1</v>
      </c>
      <c r="B7" s="113">
        <v>2</v>
      </c>
      <c r="C7" s="113">
        <v>3</v>
      </c>
      <c r="D7" s="113">
        <f>C7+1</f>
        <v>4</v>
      </c>
      <c r="E7" s="113">
        <v>5</v>
      </c>
      <c r="F7" s="113">
        <v>6</v>
      </c>
      <c r="G7" s="113">
        <v>7</v>
      </c>
      <c r="H7" s="115">
        <v>8</v>
      </c>
      <c r="I7" s="115">
        <f>H7+1</f>
        <v>9</v>
      </c>
      <c r="J7" s="115">
        <f>I7+1</f>
        <v>10</v>
      </c>
      <c r="K7" s="115">
        <f>J7+1</f>
        <v>11</v>
      </c>
      <c r="L7" s="115">
        <v>8</v>
      </c>
      <c r="M7" s="115">
        <f>L7+1</f>
        <v>9</v>
      </c>
      <c r="N7" s="115">
        <f>M7+1</f>
        <v>10</v>
      </c>
      <c r="O7" s="115">
        <f>N7+1</f>
        <v>11</v>
      </c>
      <c r="P7" s="115">
        <v>8</v>
      </c>
      <c r="Q7" s="115">
        <f>P7+1</f>
        <v>9</v>
      </c>
      <c r="R7" s="115">
        <f>Q7+1</f>
        <v>10</v>
      </c>
      <c r="S7" s="115">
        <f>R7+1</f>
        <v>11</v>
      </c>
      <c r="T7" s="115">
        <f>K7+1</f>
        <v>12</v>
      </c>
      <c r="U7" s="115">
        <f t="shared" ref="U7:AM7" si="0">T7+1</f>
        <v>13</v>
      </c>
      <c r="V7" s="115">
        <f t="shared" si="0"/>
        <v>14</v>
      </c>
      <c r="W7" s="115">
        <f t="shared" si="0"/>
        <v>15</v>
      </c>
      <c r="X7" s="115">
        <f t="shared" si="0"/>
        <v>16</v>
      </c>
      <c r="Y7" s="113">
        <f t="shared" si="0"/>
        <v>17</v>
      </c>
      <c r="Z7" s="113">
        <f t="shared" si="0"/>
        <v>18</v>
      </c>
      <c r="AA7" s="113">
        <f t="shared" si="0"/>
        <v>19</v>
      </c>
      <c r="AB7" s="113">
        <f t="shared" si="0"/>
        <v>20</v>
      </c>
      <c r="AC7" s="113">
        <f t="shared" si="0"/>
        <v>21</v>
      </c>
      <c r="AD7" s="113">
        <f t="shared" si="0"/>
        <v>22</v>
      </c>
      <c r="AE7" s="113">
        <f t="shared" si="0"/>
        <v>23</v>
      </c>
      <c r="AF7" s="113">
        <f t="shared" si="0"/>
        <v>24</v>
      </c>
      <c r="AG7" s="113">
        <f t="shared" si="0"/>
        <v>25</v>
      </c>
      <c r="AH7" s="113">
        <f t="shared" si="0"/>
        <v>26</v>
      </c>
      <c r="AI7" s="113">
        <f t="shared" si="0"/>
        <v>27</v>
      </c>
      <c r="AJ7" s="113">
        <f t="shared" si="0"/>
        <v>28</v>
      </c>
      <c r="AK7" s="113">
        <f t="shared" si="0"/>
        <v>29</v>
      </c>
      <c r="AL7" s="113">
        <f t="shared" si="0"/>
        <v>30</v>
      </c>
      <c r="AM7" s="113">
        <f t="shared" si="0"/>
        <v>31</v>
      </c>
      <c r="AN7" s="113">
        <f>AE7+1</f>
        <v>24</v>
      </c>
      <c r="AO7" s="113">
        <f t="shared" ref="AO7:BG7" si="1">AN7+1</f>
        <v>25</v>
      </c>
      <c r="AP7" s="113">
        <f t="shared" si="1"/>
        <v>26</v>
      </c>
      <c r="AQ7" s="113">
        <f t="shared" si="1"/>
        <v>27</v>
      </c>
      <c r="AR7" s="113">
        <f t="shared" si="1"/>
        <v>28</v>
      </c>
      <c r="AS7" s="113">
        <f t="shared" si="1"/>
        <v>29</v>
      </c>
      <c r="AT7" s="113">
        <f t="shared" si="1"/>
        <v>30</v>
      </c>
      <c r="AU7" s="113">
        <f t="shared" si="1"/>
        <v>31</v>
      </c>
      <c r="AV7" s="113">
        <f t="shared" si="1"/>
        <v>32</v>
      </c>
      <c r="AW7" s="113">
        <f t="shared" si="1"/>
        <v>33</v>
      </c>
      <c r="AX7" s="113">
        <f t="shared" si="1"/>
        <v>34</v>
      </c>
      <c r="AY7" s="113">
        <f t="shared" si="1"/>
        <v>35</v>
      </c>
      <c r="AZ7" s="113">
        <f t="shared" si="1"/>
        <v>36</v>
      </c>
      <c r="BA7" s="113">
        <f t="shared" si="1"/>
        <v>37</v>
      </c>
      <c r="BB7" s="113">
        <f t="shared" si="1"/>
        <v>38</v>
      </c>
      <c r="BC7" s="113">
        <f t="shared" si="1"/>
        <v>39</v>
      </c>
      <c r="BD7" s="113">
        <f t="shared" si="1"/>
        <v>40</v>
      </c>
      <c r="BE7" s="113">
        <f t="shared" si="1"/>
        <v>41</v>
      </c>
      <c r="BF7" s="113">
        <f t="shared" si="1"/>
        <v>42</v>
      </c>
      <c r="BG7" s="113">
        <f t="shared" si="1"/>
        <v>43</v>
      </c>
      <c r="BH7" s="113">
        <f>AY7+1</f>
        <v>36</v>
      </c>
      <c r="BI7" s="113">
        <f t="shared" ref="BI7:CA7" si="2">BH7+1</f>
        <v>37</v>
      </c>
      <c r="BJ7" s="113">
        <f t="shared" si="2"/>
        <v>38</v>
      </c>
      <c r="BK7" s="113">
        <f t="shared" si="2"/>
        <v>39</v>
      </c>
      <c r="BL7" s="113">
        <f t="shared" si="2"/>
        <v>40</v>
      </c>
      <c r="BM7" s="113">
        <f t="shared" si="2"/>
        <v>41</v>
      </c>
      <c r="BN7" s="113">
        <f t="shared" si="2"/>
        <v>42</v>
      </c>
      <c r="BO7" s="113">
        <f t="shared" si="2"/>
        <v>43</v>
      </c>
      <c r="BP7" s="113">
        <f t="shared" si="2"/>
        <v>44</v>
      </c>
      <c r="BQ7" s="113">
        <f t="shared" si="2"/>
        <v>45</v>
      </c>
      <c r="BR7" s="113">
        <f t="shared" si="2"/>
        <v>46</v>
      </c>
      <c r="BS7" s="113">
        <f t="shared" si="2"/>
        <v>47</v>
      </c>
      <c r="BT7" s="113">
        <f t="shared" si="2"/>
        <v>48</v>
      </c>
      <c r="BU7" s="113">
        <f t="shared" si="2"/>
        <v>49</v>
      </c>
      <c r="BV7" s="113">
        <f t="shared" si="2"/>
        <v>50</v>
      </c>
      <c r="BW7" s="113">
        <f t="shared" si="2"/>
        <v>51</v>
      </c>
      <c r="BX7" s="113">
        <f t="shared" si="2"/>
        <v>52</v>
      </c>
      <c r="BY7" s="113">
        <f t="shared" si="2"/>
        <v>53</v>
      </c>
      <c r="BZ7" s="113">
        <f t="shared" si="2"/>
        <v>54</v>
      </c>
      <c r="CA7" s="113">
        <f t="shared" si="2"/>
        <v>55</v>
      </c>
      <c r="CB7" s="113">
        <f>BS7+1</f>
        <v>48</v>
      </c>
      <c r="CC7" s="113">
        <f t="shared" ref="CC7:CU7" si="3">CB7+1</f>
        <v>49</v>
      </c>
      <c r="CD7" s="113">
        <f t="shared" si="3"/>
        <v>50</v>
      </c>
      <c r="CE7" s="113">
        <f t="shared" si="3"/>
        <v>51</v>
      </c>
      <c r="CF7" s="113">
        <f t="shared" si="3"/>
        <v>52</v>
      </c>
      <c r="CG7" s="113">
        <f t="shared" si="3"/>
        <v>53</v>
      </c>
      <c r="CH7" s="113">
        <f t="shared" si="3"/>
        <v>54</v>
      </c>
      <c r="CI7" s="113">
        <f t="shared" si="3"/>
        <v>55</v>
      </c>
      <c r="CJ7" s="113">
        <f t="shared" si="3"/>
        <v>56</v>
      </c>
      <c r="CK7" s="113">
        <f t="shared" si="3"/>
        <v>57</v>
      </c>
      <c r="CL7" s="113">
        <f t="shared" si="3"/>
        <v>58</v>
      </c>
      <c r="CM7" s="113">
        <f t="shared" si="3"/>
        <v>59</v>
      </c>
      <c r="CN7" s="113">
        <f t="shared" si="3"/>
        <v>60</v>
      </c>
      <c r="CO7" s="113">
        <f t="shared" si="3"/>
        <v>61</v>
      </c>
      <c r="CP7" s="113">
        <f t="shared" si="3"/>
        <v>62</v>
      </c>
      <c r="CQ7" s="113">
        <f t="shared" si="3"/>
        <v>63</v>
      </c>
      <c r="CR7" s="113">
        <f t="shared" si="3"/>
        <v>64</v>
      </c>
      <c r="CS7" s="113">
        <f t="shared" si="3"/>
        <v>65</v>
      </c>
      <c r="CT7" s="113">
        <f t="shared" si="3"/>
        <v>66</v>
      </c>
      <c r="CU7" s="113">
        <f t="shared" si="3"/>
        <v>67</v>
      </c>
      <c r="CV7" s="113">
        <f>CJ7+1</f>
        <v>57</v>
      </c>
      <c r="CW7" s="113"/>
      <c r="CX7" s="113"/>
      <c r="CY7" s="113"/>
      <c r="CZ7" s="113">
        <f>CV7+1</f>
        <v>58</v>
      </c>
      <c r="DA7" s="113">
        <f t="shared" ref="DA7:DG7" si="4">CZ7+1</f>
        <v>59</v>
      </c>
      <c r="DB7" s="113">
        <f t="shared" si="4"/>
        <v>60</v>
      </c>
      <c r="DC7" s="113">
        <f t="shared" si="4"/>
        <v>61</v>
      </c>
      <c r="DD7" s="113">
        <f t="shared" si="4"/>
        <v>62</v>
      </c>
      <c r="DE7" s="113">
        <f t="shared" si="4"/>
        <v>63</v>
      </c>
      <c r="DF7" s="113">
        <f t="shared" si="4"/>
        <v>64</v>
      </c>
      <c r="DG7" s="113">
        <f t="shared" si="4"/>
        <v>65</v>
      </c>
      <c r="DH7" s="113">
        <f t="shared" ref="DH7:DO7" si="5">DG7+1</f>
        <v>66</v>
      </c>
      <c r="DI7" s="113">
        <f t="shared" si="5"/>
        <v>67</v>
      </c>
      <c r="DJ7" s="113">
        <f t="shared" si="5"/>
        <v>68</v>
      </c>
      <c r="DK7" s="113">
        <f t="shared" si="5"/>
        <v>69</v>
      </c>
      <c r="DL7" s="113">
        <f t="shared" si="5"/>
        <v>70</v>
      </c>
      <c r="DM7" s="113">
        <f t="shared" si="5"/>
        <v>71</v>
      </c>
      <c r="DN7" s="113">
        <f t="shared" si="5"/>
        <v>72</v>
      </c>
      <c r="DO7" s="113">
        <f t="shared" si="5"/>
        <v>73</v>
      </c>
      <c r="DP7" s="113">
        <f>DG7+1</f>
        <v>66</v>
      </c>
      <c r="DQ7" s="113">
        <f>DP7+1</f>
        <v>67</v>
      </c>
      <c r="DR7" s="113">
        <f>DQ7+1</f>
        <v>68</v>
      </c>
      <c r="DS7" s="113">
        <f>DR7+1</f>
        <v>69</v>
      </c>
      <c r="DT7" s="39"/>
    </row>
    <row r="8" spans="1:124" s="20" customFormat="1" ht="28.5" x14ac:dyDescent="0.2">
      <c r="A8" s="21" t="s">
        <v>6</v>
      </c>
      <c r="B8" s="116" t="s">
        <v>95</v>
      </c>
      <c r="C8" s="117" t="s">
        <v>96</v>
      </c>
      <c r="D8" s="118"/>
      <c r="E8" s="119"/>
      <c r="F8" s="120"/>
      <c r="G8" s="121"/>
      <c r="H8" s="118"/>
      <c r="I8" s="119"/>
      <c r="J8" s="120"/>
      <c r="K8" s="121"/>
      <c r="L8" s="385"/>
      <c r="M8" s="391"/>
      <c r="N8" s="392"/>
      <c r="O8" s="393"/>
      <c r="P8" s="118"/>
      <c r="Q8" s="119"/>
      <c r="R8" s="120"/>
      <c r="S8" s="121"/>
      <c r="T8" s="118"/>
      <c r="U8" s="119"/>
      <c r="V8" s="120"/>
      <c r="W8" s="121"/>
      <c r="X8" s="118">
        <f t="shared" ref="X8:AN8" si="6">X9+X10</f>
        <v>41324.958999999995</v>
      </c>
      <c r="Y8" s="119">
        <f t="shared" si="6"/>
        <v>18233.813999999998</v>
      </c>
      <c r="Z8" s="120">
        <f t="shared" si="6"/>
        <v>18193.099000000002</v>
      </c>
      <c r="AA8" s="121">
        <f t="shared" si="6"/>
        <v>36426.913</v>
      </c>
      <c r="AB8" s="118">
        <f t="shared" si="6"/>
        <v>41324.958999999995</v>
      </c>
      <c r="AC8" s="119">
        <f t="shared" si="6"/>
        <v>15849.022999999999</v>
      </c>
      <c r="AD8" s="120">
        <f t="shared" si="6"/>
        <v>15112.44</v>
      </c>
      <c r="AE8" s="121">
        <f t="shared" si="6"/>
        <v>30961.463</v>
      </c>
      <c r="AF8" s="385">
        <f t="shared" si="6"/>
        <v>39279.288</v>
      </c>
      <c r="AG8" s="391">
        <f t="shared" si="6"/>
        <v>15021.102000000001</v>
      </c>
      <c r="AH8" s="392">
        <f t="shared" si="6"/>
        <v>14843.635</v>
      </c>
      <c r="AI8" s="393">
        <f t="shared" si="6"/>
        <v>29864.737000000001</v>
      </c>
      <c r="AJ8" s="118">
        <f t="shared" si="6"/>
        <v>39279.288</v>
      </c>
      <c r="AK8" s="119">
        <f t="shared" si="6"/>
        <v>0</v>
      </c>
      <c r="AL8" s="120">
        <f t="shared" si="6"/>
        <v>0</v>
      </c>
      <c r="AM8" s="121">
        <f t="shared" si="6"/>
        <v>0</v>
      </c>
      <c r="AN8" s="118">
        <f t="shared" si="6"/>
        <v>41324.958999999995</v>
      </c>
      <c r="AO8" s="119"/>
      <c r="AP8" s="120"/>
      <c r="AQ8" s="121"/>
      <c r="AR8" s="118">
        <f t="shared" ref="AR8:BH8" si="7">AR9+AR10</f>
        <v>19883.667000000001</v>
      </c>
      <c r="AS8" s="119">
        <f t="shared" si="7"/>
        <v>9730</v>
      </c>
      <c r="AT8" s="120">
        <f t="shared" si="7"/>
        <v>8691</v>
      </c>
      <c r="AU8" s="122">
        <f t="shared" si="7"/>
        <v>18421</v>
      </c>
      <c r="AV8" s="118">
        <f t="shared" si="7"/>
        <v>19883.667000000001</v>
      </c>
      <c r="AW8" s="119">
        <f t="shared" si="7"/>
        <v>8817</v>
      </c>
      <c r="AX8" s="120">
        <f t="shared" si="7"/>
        <v>7941</v>
      </c>
      <c r="AY8" s="122">
        <f t="shared" si="7"/>
        <v>16758</v>
      </c>
      <c r="AZ8" s="385">
        <f t="shared" si="7"/>
        <v>19146.857</v>
      </c>
      <c r="BA8" s="391">
        <f t="shared" si="7"/>
        <v>8701</v>
      </c>
      <c r="BB8" s="392">
        <f t="shared" si="7"/>
        <v>8366</v>
      </c>
      <c r="BC8" s="393">
        <f t="shared" si="7"/>
        <v>17067</v>
      </c>
      <c r="BD8" s="118">
        <f t="shared" si="7"/>
        <v>19146.857</v>
      </c>
      <c r="BE8" s="119">
        <f t="shared" si="7"/>
        <v>0</v>
      </c>
      <c r="BF8" s="120">
        <f t="shared" si="7"/>
        <v>0</v>
      </c>
      <c r="BG8" s="121">
        <f t="shared" si="7"/>
        <v>0</v>
      </c>
      <c r="BH8" s="118">
        <f t="shared" si="7"/>
        <v>19883.667000000001</v>
      </c>
      <c r="BI8" s="119"/>
      <c r="BJ8" s="120"/>
      <c r="BK8" s="122"/>
      <c r="BL8" s="118">
        <f t="shared" ref="BL8:CB8" si="8">BL9+BL10</f>
        <v>32734.050000000003</v>
      </c>
      <c r="BM8" s="119">
        <f t="shared" si="8"/>
        <v>15334.924000000001</v>
      </c>
      <c r="BN8" s="120">
        <f t="shared" si="8"/>
        <v>13627.937</v>
      </c>
      <c r="BO8" s="121">
        <f t="shared" si="8"/>
        <v>28962.861000000001</v>
      </c>
      <c r="BP8" s="118">
        <f t="shared" si="8"/>
        <v>32734.050000000003</v>
      </c>
      <c r="BQ8" s="119">
        <f t="shared" si="8"/>
        <v>13603.849000000002</v>
      </c>
      <c r="BR8" s="120">
        <f t="shared" si="8"/>
        <v>13544.665000000001</v>
      </c>
      <c r="BS8" s="121">
        <f t="shared" si="8"/>
        <v>27148.514000000003</v>
      </c>
      <c r="BT8" s="385">
        <f t="shared" si="8"/>
        <v>30918.138999999996</v>
      </c>
      <c r="BU8" s="391">
        <f t="shared" si="8"/>
        <v>13526.563999999998</v>
      </c>
      <c r="BV8" s="392">
        <f t="shared" si="8"/>
        <v>12447.786999999997</v>
      </c>
      <c r="BW8" s="393">
        <f t="shared" si="8"/>
        <v>25974.350999999995</v>
      </c>
      <c r="BX8" s="118">
        <f t="shared" si="8"/>
        <v>30918.138999999996</v>
      </c>
      <c r="BY8" s="119">
        <f t="shared" si="8"/>
        <v>0</v>
      </c>
      <c r="BZ8" s="120">
        <f t="shared" si="8"/>
        <v>0</v>
      </c>
      <c r="CA8" s="121">
        <f t="shared" si="8"/>
        <v>0</v>
      </c>
      <c r="CB8" s="118">
        <f t="shared" si="8"/>
        <v>32734.050000000003</v>
      </c>
      <c r="CC8" s="119"/>
      <c r="CD8" s="120"/>
      <c r="CE8" s="121"/>
      <c r="CF8" s="118">
        <f t="shared" ref="CF8:CV8" si="9">CF9+CF10</f>
        <v>26938.349000000002</v>
      </c>
      <c r="CG8" s="119">
        <f t="shared" si="9"/>
        <v>10365.67</v>
      </c>
      <c r="CH8" s="120">
        <f t="shared" si="9"/>
        <v>9838.0640000000003</v>
      </c>
      <c r="CI8" s="121">
        <f t="shared" si="9"/>
        <v>20203.734</v>
      </c>
      <c r="CJ8" s="118">
        <f>[2]Омол!$K$13</f>
        <v>24805.870999999999</v>
      </c>
      <c r="CK8" s="119">
        <f t="shared" si="9"/>
        <v>9782.0840000000007</v>
      </c>
      <c r="CL8" s="120">
        <f t="shared" si="9"/>
        <v>10330.288000000002</v>
      </c>
      <c r="CM8" s="121">
        <f t="shared" si="9"/>
        <v>20112.372000000003</v>
      </c>
      <c r="CN8" s="385">
        <f t="shared" si="9"/>
        <v>22941.848000000002</v>
      </c>
      <c r="CO8" s="391">
        <f t="shared" si="9"/>
        <v>9458.2889999999989</v>
      </c>
      <c r="CP8" s="392">
        <f t="shared" si="9"/>
        <v>9974.7990000000009</v>
      </c>
      <c r="CQ8" s="393">
        <f t="shared" si="9"/>
        <v>19433.088</v>
      </c>
      <c r="CR8" s="118">
        <f t="shared" si="9"/>
        <v>22941.848000000002</v>
      </c>
      <c r="CS8" s="119">
        <f t="shared" si="9"/>
        <v>0</v>
      </c>
      <c r="CT8" s="120">
        <f t="shared" si="9"/>
        <v>0</v>
      </c>
      <c r="CU8" s="121">
        <f t="shared" si="9"/>
        <v>0</v>
      </c>
      <c r="CV8" s="118">
        <f t="shared" si="9"/>
        <v>24805.870999999999</v>
      </c>
      <c r="CW8" s="119"/>
      <c r="CX8" s="120"/>
      <c r="CY8" s="121"/>
      <c r="CZ8" s="118">
        <f t="shared" ref="CZ8:DP8" si="10">CZ9+CZ10</f>
        <v>27733.038</v>
      </c>
      <c r="DA8" s="119">
        <f t="shared" si="10"/>
        <v>13121.49</v>
      </c>
      <c r="DB8" s="120">
        <f t="shared" si="10"/>
        <v>13103.072999999999</v>
      </c>
      <c r="DC8" s="122">
        <f t="shared" si="10"/>
        <v>26224.562999999998</v>
      </c>
      <c r="DD8" s="118">
        <f t="shared" si="10"/>
        <v>27733.038</v>
      </c>
      <c r="DE8" s="119">
        <f t="shared" si="10"/>
        <v>12743.746999999999</v>
      </c>
      <c r="DF8" s="120">
        <f t="shared" si="10"/>
        <v>12158.178</v>
      </c>
      <c r="DG8" s="121">
        <f t="shared" si="10"/>
        <v>24901.924999999999</v>
      </c>
      <c r="DH8" s="385">
        <f t="shared" si="10"/>
        <v>27192.629000000001</v>
      </c>
      <c r="DI8" s="391">
        <f t="shared" si="10"/>
        <v>12321.802000000001</v>
      </c>
      <c r="DJ8" s="392">
        <f t="shared" si="10"/>
        <v>12534.079</v>
      </c>
      <c r="DK8" s="393">
        <f t="shared" si="10"/>
        <v>24855.881000000001</v>
      </c>
      <c r="DL8" s="118">
        <f t="shared" si="10"/>
        <v>27192.629000000001</v>
      </c>
      <c r="DM8" s="119">
        <f t="shared" si="10"/>
        <v>0</v>
      </c>
      <c r="DN8" s="120">
        <f t="shared" si="10"/>
        <v>0</v>
      </c>
      <c r="DO8" s="121">
        <f t="shared" si="10"/>
        <v>0</v>
      </c>
      <c r="DP8" s="118">
        <f t="shared" si="10"/>
        <v>27733.038</v>
      </c>
      <c r="DQ8" s="119"/>
      <c r="DR8" s="120"/>
      <c r="DS8" s="122"/>
      <c r="DT8" s="39"/>
    </row>
    <row r="9" spans="1:124" s="20" customFormat="1" ht="15" x14ac:dyDescent="0.2">
      <c r="A9" s="22" t="s">
        <v>30</v>
      </c>
      <c r="B9" s="123" t="s">
        <v>129</v>
      </c>
      <c r="C9" s="124" t="s">
        <v>96</v>
      </c>
      <c r="D9" s="125"/>
      <c r="E9" s="127"/>
      <c r="F9" s="128"/>
      <c r="G9" s="129"/>
      <c r="H9" s="126"/>
      <c r="I9" s="127"/>
      <c r="J9" s="128"/>
      <c r="K9" s="129"/>
      <c r="L9" s="386"/>
      <c r="M9" s="394"/>
      <c r="N9" s="395"/>
      <c r="O9" s="396"/>
      <c r="P9" s="126"/>
      <c r="Q9" s="127"/>
      <c r="R9" s="128"/>
      <c r="S9" s="129"/>
      <c r="T9" s="126"/>
      <c r="U9" s="127"/>
      <c r="V9" s="128"/>
      <c r="W9" s="129"/>
      <c r="X9" s="125">
        <v>41324.958999999995</v>
      </c>
      <c r="Y9" s="127">
        <v>18233.813999999998</v>
      </c>
      <c r="Z9" s="128">
        <v>18193.099000000002</v>
      </c>
      <c r="AA9" s="129">
        <f>Y9+Z9</f>
        <v>36426.913</v>
      </c>
      <c r="AB9" s="126">
        <f>X9</f>
        <v>41324.958999999995</v>
      </c>
      <c r="AC9" s="127">
        <v>15849.022999999999</v>
      </c>
      <c r="AD9" s="128">
        <v>15112.44</v>
      </c>
      <c r="AE9" s="129">
        <f>AC9+AD9</f>
        <v>30961.463</v>
      </c>
      <c r="AF9" s="386">
        <v>39279.288</v>
      </c>
      <c r="AG9" s="394">
        <v>15021.102000000001</v>
      </c>
      <c r="AH9" s="395">
        <v>14843.635</v>
      </c>
      <c r="AI9" s="396">
        <f>AG9+AH9</f>
        <v>29864.737000000001</v>
      </c>
      <c r="AJ9" s="126">
        <f>AF9</f>
        <v>39279.288</v>
      </c>
      <c r="AK9" s="127"/>
      <c r="AL9" s="128"/>
      <c r="AM9" s="129">
        <f>AK9+AL9</f>
        <v>0</v>
      </c>
      <c r="AN9" s="126">
        <f>AB9</f>
        <v>41324.958999999995</v>
      </c>
      <c r="AO9" s="127"/>
      <c r="AP9" s="128"/>
      <c r="AQ9" s="129"/>
      <c r="AR9" s="125"/>
      <c r="AS9" s="127"/>
      <c r="AT9" s="128"/>
      <c r="AU9" s="130"/>
      <c r="AV9" s="126"/>
      <c r="AW9" s="127"/>
      <c r="AX9" s="128"/>
      <c r="AY9" s="130">
        <f>AW9+AX9</f>
        <v>0</v>
      </c>
      <c r="AZ9" s="386"/>
      <c r="BA9" s="394"/>
      <c r="BB9" s="395"/>
      <c r="BC9" s="396">
        <f>BA9+BB9</f>
        <v>0</v>
      </c>
      <c r="BD9" s="126"/>
      <c r="BE9" s="127"/>
      <c r="BF9" s="128"/>
      <c r="BG9" s="129">
        <f>BE9+BF9</f>
        <v>0</v>
      </c>
      <c r="BH9" s="126"/>
      <c r="BI9" s="127"/>
      <c r="BJ9" s="128"/>
      <c r="BK9" s="130"/>
      <c r="BL9" s="125"/>
      <c r="BM9" s="127"/>
      <c r="BN9" s="128"/>
      <c r="BO9" s="129"/>
      <c r="BP9" s="126"/>
      <c r="BQ9" s="127"/>
      <c r="BR9" s="128"/>
      <c r="BS9" s="129"/>
      <c r="BT9" s="386"/>
      <c r="BU9" s="394"/>
      <c r="BV9" s="395"/>
      <c r="BW9" s="396"/>
      <c r="BX9" s="126"/>
      <c r="BY9" s="127"/>
      <c r="BZ9" s="128"/>
      <c r="CA9" s="129"/>
      <c r="CB9" s="126"/>
      <c r="CC9" s="127"/>
      <c r="CD9" s="128"/>
      <c r="CE9" s="129"/>
      <c r="CF9" s="125"/>
      <c r="CG9" s="127"/>
      <c r="CH9" s="128"/>
      <c r="CI9" s="129"/>
      <c r="CJ9" s="126"/>
      <c r="CK9" s="127"/>
      <c r="CL9" s="128"/>
      <c r="CM9" s="129"/>
      <c r="CN9" s="386"/>
      <c r="CO9" s="394"/>
      <c r="CP9" s="395"/>
      <c r="CQ9" s="396"/>
      <c r="CR9" s="126"/>
      <c r="CS9" s="127"/>
      <c r="CT9" s="128"/>
      <c r="CU9" s="129"/>
      <c r="CV9" s="126"/>
      <c r="CW9" s="127"/>
      <c r="CX9" s="128"/>
      <c r="CY9" s="129"/>
      <c r="CZ9" s="125"/>
      <c r="DA9" s="127"/>
      <c r="DB9" s="128"/>
      <c r="DC9" s="130"/>
      <c r="DD9" s="126"/>
      <c r="DE9" s="127"/>
      <c r="DF9" s="128"/>
      <c r="DG9" s="129"/>
      <c r="DH9" s="386"/>
      <c r="DI9" s="394"/>
      <c r="DJ9" s="395"/>
      <c r="DK9" s="396"/>
      <c r="DL9" s="126"/>
      <c r="DM9" s="127"/>
      <c r="DN9" s="128"/>
      <c r="DO9" s="129"/>
      <c r="DP9" s="126"/>
      <c r="DQ9" s="127"/>
      <c r="DR9" s="128"/>
      <c r="DS9" s="130"/>
      <c r="DT9" s="39"/>
    </row>
    <row r="10" spans="1:124" s="20" customFormat="1" ht="15" x14ac:dyDescent="0.2">
      <c r="A10" s="23" t="s">
        <v>31</v>
      </c>
      <c r="B10" s="131" t="s">
        <v>97</v>
      </c>
      <c r="C10" s="132" t="s">
        <v>96</v>
      </c>
      <c r="D10" s="126"/>
      <c r="E10" s="133"/>
      <c r="F10" s="134"/>
      <c r="G10" s="135"/>
      <c r="H10" s="126"/>
      <c r="I10" s="133"/>
      <c r="J10" s="134"/>
      <c r="K10" s="135"/>
      <c r="L10" s="386"/>
      <c r="M10" s="397"/>
      <c r="N10" s="398"/>
      <c r="O10" s="399"/>
      <c r="P10" s="126"/>
      <c r="Q10" s="133"/>
      <c r="R10" s="134"/>
      <c r="S10" s="135"/>
      <c r="T10" s="126"/>
      <c r="U10" s="133"/>
      <c r="V10" s="134"/>
      <c r="W10" s="135"/>
      <c r="X10" s="126"/>
      <c r="Y10" s="133"/>
      <c r="Z10" s="134"/>
      <c r="AA10" s="135"/>
      <c r="AB10" s="126"/>
      <c r="AC10" s="133"/>
      <c r="AD10" s="134"/>
      <c r="AE10" s="135"/>
      <c r="AF10" s="386"/>
      <c r="AG10" s="397"/>
      <c r="AH10" s="398"/>
      <c r="AI10" s="399"/>
      <c r="AJ10" s="126"/>
      <c r="AK10" s="133"/>
      <c r="AL10" s="134"/>
      <c r="AM10" s="135"/>
      <c r="AN10" s="126"/>
      <c r="AO10" s="133"/>
      <c r="AP10" s="134"/>
      <c r="AQ10" s="135"/>
      <c r="AR10" s="126">
        <f>'[3]раздел 2'!$AJ$10</f>
        <v>19883.667000000001</v>
      </c>
      <c r="AS10" s="133">
        <v>9730</v>
      </c>
      <c r="AT10" s="134">
        <v>8691</v>
      </c>
      <c r="AU10" s="136">
        <f>AS10+AT10</f>
        <v>18421</v>
      </c>
      <c r="AV10" s="126">
        <f>AR10</f>
        <v>19883.667000000001</v>
      </c>
      <c r="AW10" s="133">
        <v>8817</v>
      </c>
      <c r="AX10" s="134">
        <v>7941</v>
      </c>
      <c r="AY10" s="136">
        <f>AW10+AX10</f>
        <v>16758</v>
      </c>
      <c r="AZ10" s="386">
        <v>19146.857</v>
      </c>
      <c r="BA10" s="397">
        <v>8701</v>
      </c>
      <c r="BB10" s="398">
        <v>8366</v>
      </c>
      <c r="BC10" s="399">
        <f>BA10+BB10</f>
        <v>17067</v>
      </c>
      <c r="BD10" s="126">
        <f>AZ10</f>
        <v>19146.857</v>
      </c>
      <c r="BE10" s="133"/>
      <c r="BF10" s="134"/>
      <c r="BG10" s="135">
        <f>BE10+BF10</f>
        <v>0</v>
      </c>
      <c r="BH10" s="126">
        <f>AV10</f>
        <v>19883.667000000001</v>
      </c>
      <c r="BI10" s="133"/>
      <c r="BJ10" s="134"/>
      <c r="BK10" s="136"/>
      <c r="BL10" s="126">
        <v>32734.050000000003</v>
      </c>
      <c r="BM10" s="133">
        <v>15334.924000000001</v>
      </c>
      <c r="BN10" s="134">
        <v>13627.937</v>
      </c>
      <c r="BO10" s="135">
        <f>BM10+BN10</f>
        <v>28962.861000000001</v>
      </c>
      <c r="BP10" s="126">
        <f>BL10</f>
        <v>32734.050000000003</v>
      </c>
      <c r="BQ10" s="133">
        <v>13603.849000000002</v>
      </c>
      <c r="BR10" s="134">
        <v>13544.665000000001</v>
      </c>
      <c r="BS10" s="135">
        <f>BQ10+BR10</f>
        <v>27148.514000000003</v>
      </c>
      <c r="BT10" s="386">
        <v>30918.138999999996</v>
      </c>
      <c r="BU10" s="397">
        <v>13526.563999999998</v>
      </c>
      <c r="BV10" s="398">
        <v>12447.786999999997</v>
      </c>
      <c r="BW10" s="399">
        <f>BU10+BV10</f>
        <v>25974.350999999995</v>
      </c>
      <c r="BX10" s="126">
        <f>BT10</f>
        <v>30918.138999999996</v>
      </c>
      <c r="BY10" s="133"/>
      <c r="BZ10" s="134"/>
      <c r="CA10" s="135">
        <f>BY10+BZ10</f>
        <v>0</v>
      </c>
      <c r="CB10" s="126">
        <f>BP10</f>
        <v>32734.050000000003</v>
      </c>
      <c r="CC10" s="133"/>
      <c r="CD10" s="134"/>
      <c r="CE10" s="135"/>
      <c r="CF10" s="126">
        <v>26938.349000000002</v>
      </c>
      <c r="CG10" s="133">
        <v>10365.67</v>
      </c>
      <c r="CH10" s="134">
        <v>9838.0640000000003</v>
      </c>
      <c r="CI10" s="135">
        <f>CG10+CH10</f>
        <v>20203.734</v>
      </c>
      <c r="CJ10" s="126">
        <f>[2]Омол!$K$13</f>
        <v>24805.870999999999</v>
      </c>
      <c r="CK10" s="133">
        <v>9782.0840000000007</v>
      </c>
      <c r="CL10" s="134">
        <v>10330.288000000002</v>
      </c>
      <c r="CM10" s="135">
        <f>CK10+CL10</f>
        <v>20112.372000000003</v>
      </c>
      <c r="CN10" s="386">
        <v>22941.848000000002</v>
      </c>
      <c r="CO10" s="397">
        <v>9458.2889999999989</v>
      </c>
      <c r="CP10" s="398">
        <v>9974.7990000000009</v>
      </c>
      <c r="CQ10" s="399">
        <f>CO10+CP10</f>
        <v>19433.088</v>
      </c>
      <c r="CR10" s="126">
        <f>CN10</f>
        <v>22941.848000000002</v>
      </c>
      <c r="CS10" s="133"/>
      <c r="CT10" s="134"/>
      <c r="CU10" s="135">
        <f>CS10+CT10</f>
        <v>0</v>
      </c>
      <c r="CV10" s="126">
        <f>CJ10</f>
        <v>24805.870999999999</v>
      </c>
      <c r="CW10" s="133"/>
      <c r="CX10" s="134"/>
      <c r="CY10" s="135"/>
      <c r="CZ10" s="126">
        <v>27733.038</v>
      </c>
      <c r="DA10" s="133">
        <v>13121.49</v>
      </c>
      <c r="DB10" s="134">
        <v>13103.072999999999</v>
      </c>
      <c r="DC10" s="136">
        <f>DA10+DB10</f>
        <v>26224.562999999998</v>
      </c>
      <c r="DD10" s="126">
        <f>CZ10</f>
        <v>27733.038</v>
      </c>
      <c r="DE10" s="133">
        <v>12743.746999999999</v>
      </c>
      <c r="DF10" s="134">
        <v>12158.178</v>
      </c>
      <c r="DG10" s="135">
        <f>DE10+DF10</f>
        <v>24901.924999999999</v>
      </c>
      <c r="DH10" s="386">
        <v>27192.629000000001</v>
      </c>
      <c r="DI10" s="397">
        <v>12321.802000000001</v>
      </c>
      <c r="DJ10" s="398">
        <v>12534.079</v>
      </c>
      <c r="DK10" s="399">
        <f>DI10+DJ10</f>
        <v>24855.881000000001</v>
      </c>
      <c r="DL10" s="126">
        <f>DH10</f>
        <v>27192.629000000001</v>
      </c>
      <c r="DM10" s="133"/>
      <c r="DN10" s="134"/>
      <c r="DO10" s="135">
        <f>DM10+DN10</f>
        <v>0</v>
      </c>
      <c r="DP10" s="126">
        <f>DD10</f>
        <v>27733.038</v>
      </c>
      <c r="DQ10" s="133"/>
      <c r="DR10" s="134"/>
      <c r="DS10" s="136"/>
      <c r="DT10" s="39"/>
    </row>
    <row r="11" spans="1:124" s="20" customFormat="1" ht="35.25" customHeight="1" x14ac:dyDescent="0.2">
      <c r="A11" s="24" t="s">
        <v>12</v>
      </c>
      <c r="B11" s="137" t="s">
        <v>98</v>
      </c>
      <c r="C11" s="132" t="s">
        <v>96</v>
      </c>
      <c r="D11" s="138">
        <v>1187400</v>
      </c>
      <c r="E11" s="139">
        <v>555336</v>
      </c>
      <c r="F11" s="140">
        <v>513763</v>
      </c>
      <c r="G11" s="141">
        <f>E11+F11</f>
        <v>1069099</v>
      </c>
      <c r="H11" s="138">
        <f>D11</f>
        <v>1187400</v>
      </c>
      <c r="I11" s="139">
        <v>564074</v>
      </c>
      <c r="J11" s="140">
        <v>486134</v>
      </c>
      <c r="K11" s="141">
        <f>I11+J11</f>
        <v>1050208</v>
      </c>
      <c r="L11" s="387">
        <v>1130000</v>
      </c>
      <c r="M11" s="403">
        <v>529191</v>
      </c>
      <c r="N11" s="404">
        <v>541359</v>
      </c>
      <c r="O11" s="405">
        <f>M11+N11</f>
        <v>1070550</v>
      </c>
      <c r="P11" s="138">
        <f>L11</f>
        <v>1130000</v>
      </c>
      <c r="Q11" s="139"/>
      <c r="R11" s="140"/>
      <c r="S11" s="141">
        <f>Q11+R11</f>
        <v>0</v>
      </c>
      <c r="T11" s="138">
        <f>D11</f>
        <v>1187400</v>
      </c>
      <c r="U11" s="139"/>
      <c r="V11" s="140"/>
      <c r="W11" s="141"/>
      <c r="X11" s="138"/>
      <c r="Y11" s="139"/>
      <c r="Z11" s="140"/>
      <c r="AA11" s="141"/>
      <c r="AB11" s="138"/>
      <c r="AC11" s="139"/>
      <c r="AD11" s="140"/>
      <c r="AE11" s="141"/>
      <c r="AF11" s="387"/>
      <c r="AG11" s="403"/>
      <c r="AH11" s="404"/>
      <c r="AI11" s="405"/>
      <c r="AJ11" s="138"/>
      <c r="AK11" s="139"/>
      <c r="AL11" s="140"/>
      <c r="AM11" s="141"/>
      <c r="AN11" s="138"/>
      <c r="AO11" s="139"/>
      <c r="AP11" s="140"/>
      <c r="AQ11" s="141"/>
      <c r="AR11" s="138"/>
      <c r="AS11" s="139"/>
      <c r="AT11" s="140"/>
      <c r="AU11" s="142"/>
      <c r="AV11" s="138"/>
      <c r="AW11" s="139"/>
      <c r="AX11" s="140"/>
      <c r="AY11" s="142"/>
      <c r="AZ11" s="387"/>
      <c r="BA11" s="403"/>
      <c r="BB11" s="404"/>
      <c r="BC11" s="405"/>
      <c r="BD11" s="138"/>
      <c r="BE11" s="139"/>
      <c r="BF11" s="140"/>
      <c r="BG11" s="141"/>
      <c r="BH11" s="138"/>
      <c r="BI11" s="139"/>
      <c r="BJ11" s="140"/>
      <c r="BK11" s="142"/>
      <c r="BL11" s="138"/>
      <c r="BM11" s="139"/>
      <c r="BN11" s="140"/>
      <c r="BO11" s="141"/>
      <c r="BP11" s="138"/>
      <c r="BQ11" s="139"/>
      <c r="BR11" s="140"/>
      <c r="BS11" s="141"/>
      <c r="BT11" s="387"/>
      <c r="BU11" s="403"/>
      <c r="BV11" s="404"/>
      <c r="BW11" s="405"/>
      <c r="BX11" s="138"/>
      <c r="BY11" s="139"/>
      <c r="BZ11" s="140"/>
      <c r="CA11" s="141"/>
      <c r="CB11" s="138"/>
      <c r="CC11" s="139"/>
      <c r="CD11" s="140"/>
      <c r="CE11" s="141"/>
      <c r="CF11" s="138"/>
      <c r="CG11" s="139"/>
      <c r="CH11" s="140"/>
      <c r="CI11" s="141"/>
      <c r="CJ11" s="138"/>
      <c r="CK11" s="139"/>
      <c r="CL11" s="140"/>
      <c r="CM11" s="141"/>
      <c r="CN11" s="387"/>
      <c r="CO11" s="403"/>
      <c r="CP11" s="404"/>
      <c r="CQ11" s="405"/>
      <c r="CR11" s="138"/>
      <c r="CS11" s="139"/>
      <c r="CT11" s="140"/>
      <c r="CU11" s="141"/>
      <c r="CV11" s="138"/>
      <c r="CW11" s="139"/>
      <c r="CX11" s="140"/>
      <c r="CY11" s="141"/>
      <c r="CZ11" s="138"/>
      <c r="DA11" s="139"/>
      <c r="DB11" s="140"/>
      <c r="DC11" s="142"/>
      <c r="DD11" s="138"/>
      <c r="DE11" s="139"/>
      <c r="DF11" s="140"/>
      <c r="DG11" s="141">
        <f>DE11+DF11</f>
        <v>0</v>
      </c>
      <c r="DH11" s="387">
        <f>DD11</f>
        <v>0</v>
      </c>
      <c r="DI11" s="403">
        <v>0</v>
      </c>
      <c r="DJ11" s="404">
        <v>0</v>
      </c>
      <c r="DK11" s="405">
        <f>DI11+DJ11</f>
        <v>0</v>
      </c>
      <c r="DL11" s="138">
        <f>DH11</f>
        <v>0</v>
      </c>
      <c r="DM11" s="139"/>
      <c r="DN11" s="140"/>
      <c r="DO11" s="141">
        <f>DM11+DN11</f>
        <v>0</v>
      </c>
      <c r="DP11" s="138">
        <f>CZ11</f>
        <v>0</v>
      </c>
      <c r="DQ11" s="139"/>
      <c r="DR11" s="140"/>
      <c r="DS11" s="142"/>
      <c r="DT11" s="39"/>
    </row>
    <row r="12" spans="1:124" s="20" customFormat="1" ht="18.75" customHeight="1" x14ac:dyDescent="0.2">
      <c r="A12" s="23" t="s">
        <v>20</v>
      </c>
      <c r="B12" s="143" t="s">
        <v>99</v>
      </c>
      <c r="C12" s="132" t="s">
        <v>96</v>
      </c>
      <c r="D12" s="126">
        <v>51513.014000000003</v>
      </c>
      <c r="E12" s="133">
        <v>20801.151999999998</v>
      </c>
      <c r="F12" s="134">
        <v>24900.144000000004</v>
      </c>
      <c r="G12" s="135">
        <f>E12+F12</f>
        <v>45701.296000000002</v>
      </c>
      <c r="H12" s="126">
        <f>D12</f>
        <v>51513.014000000003</v>
      </c>
      <c r="I12" s="133">
        <v>24075.128000000004</v>
      </c>
      <c r="J12" s="134">
        <v>17745.654999999999</v>
      </c>
      <c r="K12" s="135">
        <f>I12+J12</f>
        <v>41820.783000000003</v>
      </c>
      <c r="L12" s="386">
        <v>45889.855000000003</v>
      </c>
      <c r="M12" s="397">
        <v>20849.343000000001</v>
      </c>
      <c r="N12" s="398">
        <v>19212.705000000002</v>
      </c>
      <c r="O12" s="399">
        <f>M12+N12</f>
        <v>40062.048000000003</v>
      </c>
      <c r="P12" s="126">
        <f>L12</f>
        <v>45889.855000000003</v>
      </c>
      <c r="Q12" s="133"/>
      <c r="R12" s="134"/>
      <c r="S12" s="135">
        <f>Q12+R12</f>
        <v>0</v>
      </c>
      <c r="T12" s="126">
        <f>H12</f>
        <v>51513.014000000003</v>
      </c>
      <c r="U12" s="133"/>
      <c r="V12" s="134"/>
      <c r="W12" s="135"/>
      <c r="X12" s="126">
        <v>1703.2719999999999</v>
      </c>
      <c r="Y12" s="133">
        <v>542</v>
      </c>
      <c r="Z12" s="134">
        <v>1290</v>
      </c>
      <c r="AA12" s="135">
        <f>Y12+Z12</f>
        <v>1832</v>
      </c>
      <c r="AB12" s="126">
        <f>X12</f>
        <v>1703.2719999999999</v>
      </c>
      <c r="AC12" s="133">
        <v>970</v>
      </c>
      <c r="AD12" s="134">
        <v>1180</v>
      </c>
      <c r="AE12" s="135">
        <f>AC12+AD12</f>
        <v>2150</v>
      </c>
      <c r="AF12" s="386">
        <v>1805.0909999999999</v>
      </c>
      <c r="AG12" s="397">
        <v>1000</v>
      </c>
      <c r="AH12" s="398">
        <v>1000</v>
      </c>
      <c r="AI12" s="399">
        <f>AG12+AH12</f>
        <v>2000</v>
      </c>
      <c r="AJ12" s="126">
        <f>AF12</f>
        <v>1805.0909999999999</v>
      </c>
      <c r="AK12" s="133"/>
      <c r="AL12" s="134"/>
      <c r="AM12" s="135">
        <f>AK12+AL12</f>
        <v>0</v>
      </c>
      <c r="AN12" s="126">
        <f>AB12</f>
        <v>1703.2719999999999</v>
      </c>
      <c r="AO12" s="133"/>
      <c r="AP12" s="134"/>
      <c r="AQ12" s="135"/>
      <c r="AR12" s="126">
        <v>199.333</v>
      </c>
      <c r="AS12" s="133">
        <v>95.317999999999998</v>
      </c>
      <c r="AT12" s="134">
        <v>86.551000000000002</v>
      </c>
      <c r="AU12" s="136">
        <f>AS12+AT12</f>
        <v>181.869</v>
      </c>
      <c r="AV12" s="126">
        <f>AR12</f>
        <v>199.333</v>
      </c>
      <c r="AW12" s="133">
        <v>88.325999999999993</v>
      </c>
      <c r="AX12" s="134">
        <v>79.766999999999996</v>
      </c>
      <c r="AY12" s="136">
        <f>AW12+AX12</f>
        <v>168.09299999999999</v>
      </c>
      <c r="AZ12" s="386">
        <v>195.29</v>
      </c>
      <c r="BA12" s="397">
        <v>86.829000000000008</v>
      </c>
      <c r="BB12" s="398">
        <v>84.420999999999992</v>
      </c>
      <c r="BC12" s="399">
        <f>BA12+BB12</f>
        <v>171.25</v>
      </c>
      <c r="BD12" s="126">
        <f>AZ12</f>
        <v>195.29</v>
      </c>
      <c r="BE12" s="133"/>
      <c r="BF12" s="134"/>
      <c r="BG12" s="135">
        <f>BE12+BF12</f>
        <v>0</v>
      </c>
      <c r="BH12" s="126">
        <f>AV12</f>
        <v>199.333</v>
      </c>
      <c r="BI12" s="133"/>
      <c r="BJ12" s="134"/>
      <c r="BK12" s="136"/>
      <c r="BL12" s="126">
        <v>324.10300000000001</v>
      </c>
      <c r="BM12" s="133">
        <v>152.35900000000001</v>
      </c>
      <c r="BN12" s="134">
        <v>135.292</v>
      </c>
      <c r="BO12" s="135">
        <f>BM12+BN12</f>
        <v>287.65100000000001</v>
      </c>
      <c r="BP12" s="126">
        <f>BL12</f>
        <v>324.10300000000001</v>
      </c>
      <c r="BQ12" s="133">
        <v>136.03700000000001</v>
      </c>
      <c r="BR12" s="134">
        <v>135.44600000000005</v>
      </c>
      <c r="BS12" s="135">
        <f>BQ12+BR12</f>
        <v>271.48300000000006</v>
      </c>
      <c r="BT12" s="386">
        <v>307.31</v>
      </c>
      <c r="BU12" s="397">
        <v>135.26599999999999</v>
      </c>
      <c r="BV12" s="398">
        <v>124.47799999999998</v>
      </c>
      <c r="BW12" s="399">
        <f>BU12+BV12</f>
        <v>259.74399999999997</v>
      </c>
      <c r="BX12" s="126">
        <f>BT12</f>
        <v>307.31</v>
      </c>
      <c r="BY12" s="133"/>
      <c r="BZ12" s="134"/>
      <c r="CA12" s="135">
        <f>BY12+BZ12</f>
        <v>0</v>
      </c>
      <c r="CB12" s="126">
        <f>BP12</f>
        <v>324.10300000000001</v>
      </c>
      <c r="CC12" s="133"/>
      <c r="CD12" s="134"/>
      <c r="CE12" s="135"/>
      <c r="CF12" s="126">
        <v>261.74700000000001</v>
      </c>
      <c r="CG12" s="133">
        <v>100.64</v>
      </c>
      <c r="CH12" s="134">
        <v>94.58</v>
      </c>
      <c r="CI12" s="135">
        <f>CG12+CH12</f>
        <v>195.22</v>
      </c>
      <c r="CJ12" s="126">
        <f>[2]Омол!$K$15</f>
        <v>242.65</v>
      </c>
      <c r="CK12" s="133">
        <v>96.86</v>
      </c>
      <c r="CL12" s="134">
        <v>102.3</v>
      </c>
      <c r="CM12" s="135">
        <f>CK12+CL12</f>
        <v>199.16</v>
      </c>
      <c r="CN12" s="386">
        <v>222.56</v>
      </c>
      <c r="CO12" s="397">
        <v>93.64</v>
      </c>
      <c r="CP12" s="398">
        <v>98.75</v>
      </c>
      <c r="CQ12" s="399">
        <f>CO12+CP12</f>
        <v>192.39</v>
      </c>
      <c r="CR12" s="126">
        <f>CN12</f>
        <v>222.56</v>
      </c>
      <c r="CS12" s="133"/>
      <c r="CT12" s="134"/>
      <c r="CU12" s="135">
        <f>CS12+CT12</f>
        <v>0</v>
      </c>
      <c r="CV12" s="126">
        <f>CJ12</f>
        <v>242.65</v>
      </c>
      <c r="CW12" s="133"/>
      <c r="CX12" s="134"/>
      <c r="CY12" s="135"/>
      <c r="CZ12" s="126">
        <v>257.267</v>
      </c>
      <c r="DA12" s="133">
        <v>109.51900000000001</v>
      </c>
      <c r="DB12" s="134">
        <v>117.928</v>
      </c>
      <c r="DC12" s="136">
        <f>DA12+DB12</f>
        <v>227.447</v>
      </c>
      <c r="DD12" s="126">
        <f>CZ12</f>
        <v>257.267</v>
      </c>
      <c r="DE12" s="133">
        <v>114.69399999999999</v>
      </c>
      <c r="DF12" s="134">
        <v>109.42400000000001</v>
      </c>
      <c r="DG12" s="135">
        <f>DE12+DF12</f>
        <v>224.11799999999999</v>
      </c>
      <c r="DH12" s="386">
        <v>223.417</v>
      </c>
      <c r="DI12" s="397">
        <v>110.89500000000001</v>
      </c>
      <c r="DJ12" s="398">
        <v>112.80599999999998</v>
      </c>
      <c r="DK12" s="399">
        <f>DI12+DJ12</f>
        <v>223.70099999999999</v>
      </c>
      <c r="DL12" s="126">
        <f>DH12</f>
        <v>223.417</v>
      </c>
      <c r="DM12" s="133"/>
      <c r="DN12" s="134"/>
      <c r="DO12" s="135">
        <f>DM12+DN12</f>
        <v>0</v>
      </c>
      <c r="DP12" s="126">
        <f>DD12</f>
        <v>257.267</v>
      </c>
      <c r="DQ12" s="133"/>
      <c r="DR12" s="134"/>
      <c r="DS12" s="136"/>
      <c r="DT12" s="39"/>
    </row>
    <row r="13" spans="1:124" s="25" customFormat="1" ht="28.5" x14ac:dyDescent="0.2">
      <c r="A13" s="24" t="s">
        <v>42</v>
      </c>
      <c r="B13" s="137" t="s">
        <v>100</v>
      </c>
      <c r="C13" s="144" t="s">
        <v>96</v>
      </c>
      <c r="D13" s="138">
        <f t="shared" ref="D13:BP13" si="11">D8+D11-D12</f>
        <v>1135886.986</v>
      </c>
      <c r="E13" s="139">
        <f t="shared" si="11"/>
        <v>534534.848</v>
      </c>
      <c r="F13" s="140">
        <f t="shared" si="11"/>
        <v>488862.85599999997</v>
      </c>
      <c r="G13" s="145">
        <f t="shared" si="11"/>
        <v>1023397.704</v>
      </c>
      <c r="H13" s="138">
        <f t="shared" si="11"/>
        <v>1135886.986</v>
      </c>
      <c r="I13" s="139">
        <f t="shared" si="11"/>
        <v>539998.87199999997</v>
      </c>
      <c r="J13" s="140">
        <f t="shared" si="11"/>
        <v>468388.34499999997</v>
      </c>
      <c r="K13" s="145">
        <f t="shared" si="11"/>
        <v>1008387.2169999999</v>
      </c>
      <c r="L13" s="387">
        <f t="shared" si="11"/>
        <v>1084110.145</v>
      </c>
      <c r="M13" s="403">
        <f>M8+M11-M12</f>
        <v>508341.65700000001</v>
      </c>
      <c r="N13" s="404">
        <f>N8+N11-N12</f>
        <v>522146.29499999998</v>
      </c>
      <c r="O13" s="406">
        <f>O8+O11-O12</f>
        <v>1030487.952</v>
      </c>
      <c r="P13" s="138">
        <f t="shared" ref="P13:S13" si="12">P8+P11-P12</f>
        <v>1084110.145</v>
      </c>
      <c r="Q13" s="139">
        <f t="shared" si="12"/>
        <v>0</v>
      </c>
      <c r="R13" s="140">
        <f t="shared" si="12"/>
        <v>0</v>
      </c>
      <c r="S13" s="145">
        <f t="shared" si="12"/>
        <v>0</v>
      </c>
      <c r="T13" s="138">
        <f t="shared" si="11"/>
        <v>1135886.986</v>
      </c>
      <c r="U13" s="139">
        <f t="shared" si="11"/>
        <v>0</v>
      </c>
      <c r="V13" s="140">
        <f t="shared" si="11"/>
        <v>0</v>
      </c>
      <c r="W13" s="145">
        <f t="shared" si="11"/>
        <v>0</v>
      </c>
      <c r="X13" s="138">
        <f t="shared" si="11"/>
        <v>39621.686999999998</v>
      </c>
      <c r="Y13" s="139">
        <f t="shared" si="11"/>
        <v>17691.813999999998</v>
      </c>
      <c r="Z13" s="140">
        <f t="shared" si="11"/>
        <v>16903.099000000002</v>
      </c>
      <c r="AA13" s="145">
        <f t="shared" si="11"/>
        <v>34594.913</v>
      </c>
      <c r="AB13" s="138">
        <f t="shared" si="11"/>
        <v>39621.686999999998</v>
      </c>
      <c r="AC13" s="139">
        <f t="shared" si="11"/>
        <v>14879.022999999999</v>
      </c>
      <c r="AD13" s="140">
        <f t="shared" si="11"/>
        <v>13932.44</v>
      </c>
      <c r="AE13" s="145">
        <f t="shared" si="11"/>
        <v>28811.463</v>
      </c>
      <c r="AF13" s="387">
        <f>AF8+AF11-AF12</f>
        <v>37474.197</v>
      </c>
      <c r="AG13" s="403">
        <f t="shared" ref="AG13:AI13" si="13">AG8+AG11-AG12</f>
        <v>14021.102000000001</v>
      </c>
      <c r="AH13" s="404">
        <f t="shared" si="13"/>
        <v>13843.635</v>
      </c>
      <c r="AI13" s="406">
        <f t="shared" si="13"/>
        <v>27864.737000000001</v>
      </c>
      <c r="AJ13" s="138">
        <f t="shared" ref="AJ13:AM13" si="14">AJ8+AJ11-AJ12</f>
        <v>37474.197</v>
      </c>
      <c r="AK13" s="139">
        <f t="shared" si="14"/>
        <v>0</v>
      </c>
      <c r="AL13" s="140">
        <f t="shared" si="14"/>
        <v>0</v>
      </c>
      <c r="AM13" s="145">
        <f t="shared" si="14"/>
        <v>0</v>
      </c>
      <c r="AN13" s="138">
        <f t="shared" si="11"/>
        <v>39621.686999999998</v>
      </c>
      <c r="AO13" s="139">
        <f>AO8+AO11-AO12</f>
        <v>0</v>
      </c>
      <c r="AP13" s="140">
        <f>AP8+AP11-AP12</f>
        <v>0</v>
      </c>
      <c r="AQ13" s="145">
        <f>AQ8+AQ11-AQ12</f>
        <v>0</v>
      </c>
      <c r="AR13" s="138">
        <f t="shared" si="11"/>
        <v>19684.334000000003</v>
      </c>
      <c r="AS13" s="139">
        <f t="shared" si="11"/>
        <v>9634.6820000000007</v>
      </c>
      <c r="AT13" s="140">
        <f t="shared" si="11"/>
        <v>8604.4490000000005</v>
      </c>
      <c r="AU13" s="146">
        <f t="shared" si="11"/>
        <v>18239.131000000001</v>
      </c>
      <c r="AV13" s="138">
        <f t="shared" si="11"/>
        <v>19684.334000000003</v>
      </c>
      <c r="AW13" s="139">
        <f t="shared" si="11"/>
        <v>8728.6740000000009</v>
      </c>
      <c r="AX13" s="140">
        <f t="shared" si="11"/>
        <v>7861.2330000000002</v>
      </c>
      <c r="AY13" s="146">
        <f t="shared" si="11"/>
        <v>16589.906999999999</v>
      </c>
      <c r="AZ13" s="387">
        <f t="shared" si="11"/>
        <v>18951.566999999999</v>
      </c>
      <c r="BA13" s="403">
        <f t="shared" si="11"/>
        <v>8614.1710000000003</v>
      </c>
      <c r="BB13" s="404">
        <f t="shared" si="11"/>
        <v>8281.5789999999997</v>
      </c>
      <c r="BC13" s="406">
        <f t="shared" si="11"/>
        <v>16895.75</v>
      </c>
      <c r="BD13" s="138">
        <f t="shared" ref="BD13:BG13" si="15">BD8+BD11-BD12</f>
        <v>18951.566999999999</v>
      </c>
      <c r="BE13" s="139">
        <f t="shared" si="15"/>
        <v>0</v>
      </c>
      <c r="BF13" s="140">
        <f t="shared" si="15"/>
        <v>0</v>
      </c>
      <c r="BG13" s="145">
        <f t="shared" si="15"/>
        <v>0</v>
      </c>
      <c r="BH13" s="138">
        <f t="shared" si="11"/>
        <v>19684.334000000003</v>
      </c>
      <c r="BI13" s="139">
        <f t="shared" si="11"/>
        <v>0</v>
      </c>
      <c r="BJ13" s="140">
        <f t="shared" si="11"/>
        <v>0</v>
      </c>
      <c r="BK13" s="146">
        <f t="shared" si="11"/>
        <v>0</v>
      </c>
      <c r="BL13" s="138">
        <f t="shared" si="11"/>
        <v>32409.947000000004</v>
      </c>
      <c r="BM13" s="139">
        <f t="shared" si="11"/>
        <v>15182.565000000001</v>
      </c>
      <c r="BN13" s="140">
        <f t="shared" si="11"/>
        <v>13492.645</v>
      </c>
      <c r="BO13" s="145">
        <f t="shared" si="11"/>
        <v>28675.21</v>
      </c>
      <c r="BP13" s="138">
        <f t="shared" si="11"/>
        <v>32409.947000000004</v>
      </c>
      <c r="BQ13" s="139">
        <f t="shared" ref="BQ13:DS13" si="16">BQ8+BQ11-BQ12</f>
        <v>13467.812000000002</v>
      </c>
      <c r="BR13" s="140">
        <f t="shared" si="16"/>
        <v>13409.219000000001</v>
      </c>
      <c r="BS13" s="145">
        <f t="shared" si="16"/>
        <v>26877.031000000003</v>
      </c>
      <c r="BT13" s="387">
        <f t="shared" si="16"/>
        <v>30610.828999999994</v>
      </c>
      <c r="BU13" s="403">
        <f t="shared" si="16"/>
        <v>13391.297999999999</v>
      </c>
      <c r="BV13" s="404">
        <f t="shared" si="16"/>
        <v>12323.308999999997</v>
      </c>
      <c r="BW13" s="406">
        <f t="shared" si="16"/>
        <v>25714.606999999996</v>
      </c>
      <c r="BX13" s="138">
        <f t="shared" ref="BX13:CA13" si="17">BX8+BX11-BX12</f>
        <v>30610.828999999994</v>
      </c>
      <c r="BY13" s="139">
        <f t="shared" si="17"/>
        <v>0</v>
      </c>
      <c r="BZ13" s="140">
        <f t="shared" si="17"/>
        <v>0</v>
      </c>
      <c r="CA13" s="145">
        <f t="shared" si="17"/>
        <v>0</v>
      </c>
      <c r="CB13" s="138">
        <f t="shared" si="16"/>
        <v>32409.947000000004</v>
      </c>
      <c r="CC13" s="139">
        <f t="shared" si="16"/>
        <v>0</v>
      </c>
      <c r="CD13" s="140">
        <f t="shared" si="16"/>
        <v>0</v>
      </c>
      <c r="CE13" s="145">
        <f t="shared" si="16"/>
        <v>0</v>
      </c>
      <c r="CF13" s="138">
        <f t="shared" si="16"/>
        <v>26676.602000000003</v>
      </c>
      <c r="CG13" s="139">
        <f t="shared" si="16"/>
        <v>10265.030000000001</v>
      </c>
      <c r="CH13" s="140">
        <f t="shared" si="16"/>
        <v>9743.4840000000004</v>
      </c>
      <c r="CI13" s="145">
        <f t="shared" si="16"/>
        <v>20008.513999999999</v>
      </c>
      <c r="CJ13" s="138">
        <f t="shared" si="16"/>
        <v>24563.220999999998</v>
      </c>
      <c r="CK13" s="139">
        <f t="shared" si="16"/>
        <v>9685.2240000000002</v>
      </c>
      <c r="CL13" s="140">
        <f t="shared" si="16"/>
        <v>10227.988000000003</v>
      </c>
      <c r="CM13" s="145">
        <f t="shared" si="16"/>
        <v>19913.212000000003</v>
      </c>
      <c r="CN13" s="387">
        <f t="shared" si="16"/>
        <v>22719.288</v>
      </c>
      <c r="CO13" s="403">
        <f t="shared" si="16"/>
        <v>9364.6489999999994</v>
      </c>
      <c r="CP13" s="404">
        <f t="shared" si="16"/>
        <v>9876.0490000000009</v>
      </c>
      <c r="CQ13" s="406">
        <f t="shared" si="16"/>
        <v>19240.698</v>
      </c>
      <c r="CR13" s="138">
        <f t="shared" ref="CR13:CU13" si="18">CR8+CR11-CR12</f>
        <v>22719.288</v>
      </c>
      <c r="CS13" s="139">
        <f t="shared" si="18"/>
        <v>0</v>
      </c>
      <c r="CT13" s="140">
        <f t="shared" si="18"/>
        <v>0</v>
      </c>
      <c r="CU13" s="145">
        <f t="shared" si="18"/>
        <v>0</v>
      </c>
      <c r="CV13" s="138">
        <f t="shared" si="16"/>
        <v>24563.220999999998</v>
      </c>
      <c r="CW13" s="139">
        <f>CW8+CW11-CW12</f>
        <v>0</v>
      </c>
      <c r="CX13" s="140">
        <f>CX8+CX11-CX12</f>
        <v>0</v>
      </c>
      <c r="CY13" s="145">
        <f>CY8+CY11-CY12</f>
        <v>0</v>
      </c>
      <c r="CZ13" s="138">
        <f t="shared" si="16"/>
        <v>27475.771000000001</v>
      </c>
      <c r="DA13" s="139">
        <f t="shared" si="16"/>
        <v>13011.971</v>
      </c>
      <c r="DB13" s="140">
        <f t="shared" si="16"/>
        <v>12985.144999999999</v>
      </c>
      <c r="DC13" s="146">
        <f t="shared" si="16"/>
        <v>25997.115999999998</v>
      </c>
      <c r="DD13" s="138">
        <f>DD8+DD11-DD12</f>
        <v>27475.771000000001</v>
      </c>
      <c r="DE13" s="139">
        <f t="shared" si="16"/>
        <v>12629.053</v>
      </c>
      <c r="DF13" s="140">
        <f t="shared" si="16"/>
        <v>12048.753999999999</v>
      </c>
      <c r="DG13" s="145">
        <f t="shared" si="16"/>
        <v>24677.807000000001</v>
      </c>
      <c r="DH13" s="387">
        <f t="shared" si="16"/>
        <v>26969.212</v>
      </c>
      <c r="DI13" s="403">
        <f t="shared" si="16"/>
        <v>12210.907000000001</v>
      </c>
      <c r="DJ13" s="404">
        <f t="shared" si="16"/>
        <v>12421.272999999999</v>
      </c>
      <c r="DK13" s="406">
        <f t="shared" si="16"/>
        <v>24632.18</v>
      </c>
      <c r="DL13" s="138">
        <f t="shared" ref="DL13:DO13" si="19">DL8+DL11-DL12</f>
        <v>26969.212</v>
      </c>
      <c r="DM13" s="139">
        <f t="shared" si="19"/>
        <v>0</v>
      </c>
      <c r="DN13" s="140">
        <f t="shared" si="19"/>
        <v>0</v>
      </c>
      <c r="DO13" s="145">
        <f t="shared" si="19"/>
        <v>0</v>
      </c>
      <c r="DP13" s="138">
        <f t="shared" si="16"/>
        <v>27475.771000000001</v>
      </c>
      <c r="DQ13" s="139">
        <f t="shared" si="16"/>
        <v>0</v>
      </c>
      <c r="DR13" s="140">
        <f t="shared" si="16"/>
        <v>0</v>
      </c>
      <c r="DS13" s="146">
        <f t="shared" si="16"/>
        <v>0</v>
      </c>
      <c r="DT13" s="40"/>
    </row>
    <row r="14" spans="1:124" s="20" customFormat="1" ht="15" x14ac:dyDescent="0.2">
      <c r="A14" s="23" t="s">
        <v>44</v>
      </c>
      <c r="B14" s="143" t="s">
        <v>101</v>
      </c>
      <c r="C14" s="132" t="s">
        <v>96</v>
      </c>
      <c r="D14" s="126">
        <f>D15+D16</f>
        <v>71739.885000000009</v>
      </c>
      <c r="E14" s="133">
        <f>E15+E16</f>
        <v>46516.398000000001</v>
      </c>
      <c r="F14" s="134">
        <f>F15+F16</f>
        <v>63654.678</v>
      </c>
      <c r="G14" s="135">
        <f t="shared" ref="G14:BP14" si="20">G15+G16</f>
        <v>110171.076</v>
      </c>
      <c r="H14" s="126">
        <f t="shared" si="20"/>
        <v>71739.885000000009</v>
      </c>
      <c r="I14" s="135">
        <f t="shared" si="20"/>
        <v>70463.898000000001</v>
      </c>
      <c r="J14" s="135">
        <f t="shared" si="20"/>
        <v>51517.307000000015</v>
      </c>
      <c r="K14" s="135">
        <f>K15+K16</f>
        <v>121981.20500000002</v>
      </c>
      <c r="L14" s="386">
        <f>L15+L16</f>
        <v>68469.785000000003</v>
      </c>
      <c r="M14" s="397">
        <v>49441.841</v>
      </c>
      <c r="N14" s="398">
        <v>66426.428</v>
      </c>
      <c r="O14" s="399">
        <f>M14+N14</f>
        <v>115868.269</v>
      </c>
      <c r="P14" s="126">
        <f>P15+P16</f>
        <v>68469.785000000003</v>
      </c>
      <c r="Q14" s="133"/>
      <c r="R14" s="134"/>
      <c r="S14" s="135">
        <f>S15+S16</f>
        <v>0</v>
      </c>
      <c r="T14" s="126">
        <f t="shared" si="20"/>
        <v>71739.885000000009</v>
      </c>
      <c r="U14" s="133">
        <f t="shared" si="20"/>
        <v>0</v>
      </c>
      <c r="V14" s="134">
        <f t="shared" si="20"/>
        <v>0</v>
      </c>
      <c r="W14" s="135">
        <f t="shared" si="20"/>
        <v>0</v>
      </c>
      <c r="X14" s="126">
        <f t="shared" si="20"/>
        <v>1083.5840000000001</v>
      </c>
      <c r="Y14" s="133">
        <f t="shared" si="20"/>
        <v>474</v>
      </c>
      <c r="Z14" s="134">
        <f t="shared" si="20"/>
        <v>457</v>
      </c>
      <c r="AA14" s="135">
        <f t="shared" si="20"/>
        <v>931</v>
      </c>
      <c r="AB14" s="126">
        <f t="shared" si="20"/>
        <v>1083.5840000000001</v>
      </c>
      <c r="AC14" s="133">
        <f t="shared" si="20"/>
        <v>402</v>
      </c>
      <c r="AD14" s="134">
        <f t="shared" si="20"/>
        <v>376</v>
      </c>
      <c r="AE14" s="135">
        <f t="shared" si="20"/>
        <v>778</v>
      </c>
      <c r="AF14" s="386">
        <f t="shared" si="20"/>
        <v>1024.854</v>
      </c>
      <c r="AG14" s="397">
        <f t="shared" si="20"/>
        <v>378</v>
      </c>
      <c r="AH14" s="398">
        <f t="shared" si="20"/>
        <v>374</v>
      </c>
      <c r="AI14" s="399">
        <f t="shared" si="20"/>
        <v>752</v>
      </c>
      <c r="AJ14" s="126">
        <f t="shared" ref="AJ14:AM14" si="21">AJ15+AJ16</f>
        <v>1024.854</v>
      </c>
      <c r="AK14" s="133">
        <f t="shared" si="21"/>
        <v>0</v>
      </c>
      <c r="AL14" s="134">
        <f t="shared" si="21"/>
        <v>0</v>
      </c>
      <c r="AM14" s="135">
        <f t="shared" si="21"/>
        <v>0</v>
      </c>
      <c r="AN14" s="126">
        <f t="shared" si="20"/>
        <v>1083.5840000000001</v>
      </c>
      <c r="AO14" s="133">
        <f>AO15+AO16</f>
        <v>0</v>
      </c>
      <c r="AP14" s="134">
        <f>AP15+AP16</f>
        <v>0</v>
      </c>
      <c r="AQ14" s="135">
        <f>AQ15+AQ16</f>
        <v>0</v>
      </c>
      <c r="AR14" s="126">
        <f t="shared" si="20"/>
        <v>166.464</v>
      </c>
      <c r="AS14" s="133">
        <f t="shared" si="20"/>
        <v>84.885999999999996</v>
      </c>
      <c r="AT14" s="134">
        <f t="shared" si="20"/>
        <v>68.835999999999999</v>
      </c>
      <c r="AU14" s="136">
        <f t="shared" si="20"/>
        <v>153.72199999999998</v>
      </c>
      <c r="AV14" s="126">
        <f t="shared" si="20"/>
        <v>166.464</v>
      </c>
      <c r="AW14" s="133">
        <f t="shared" si="20"/>
        <v>69.83</v>
      </c>
      <c r="AX14" s="134">
        <f t="shared" si="20"/>
        <v>62.89</v>
      </c>
      <c r="AY14" s="136">
        <f t="shared" si="20"/>
        <v>132.72</v>
      </c>
      <c r="AZ14" s="386">
        <f t="shared" si="20"/>
        <v>160.267</v>
      </c>
      <c r="BA14" s="397">
        <f t="shared" si="20"/>
        <v>68.913999999999987</v>
      </c>
      <c r="BB14" s="398">
        <f t="shared" si="20"/>
        <v>66.254000000000005</v>
      </c>
      <c r="BC14" s="399">
        <f t="shared" si="20"/>
        <v>135.16800000000001</v>
      </c>
      <c r="BD14" s="126">
        <f t="shared" ref="BD14:BG14" si="22">BD15+BD16</f>
        <v>160.267</v>
      </c>
      <c r="BE14" s="133">
        <f t="shared" si="22"/>
        <v>0</v>
      </c>
      <c r="BF14" s="134">
        <f t="shared" si="22"/>
        <v>0</v>
      </c>
      <c r="BG14" s="135">
        <f t="shared" si="22"/>
        <v>0</v>
      </c>
      <c r="BH14" s="126">
        <f t="shared" si="20"/>
        <v>166.464</v>
      </c>
      <c r="BI14" s="133">
        <f t="shared" si="20"/>
        <v>0</v>
      </c>
      <c r="BJ14" s="134">
        <f t="shared" si="20"/>
        <v>0</v>
      </c>
      <c r="BK14" s="136">
        <f t="shared" si="20"/>
        <v>0</v>
      </c>
      <c r="BL14" s="126">
        <f t="shared" si="20"/>
        <v>609.029</v>
      </c>
      <c r="BM14" s="133">
        <f t="shared" si="20"/>
        <v>286.303</v>
      </c>
      <c r="BN14" s="134">
        <f t="shared" si="20"/>
        <v>254.48400000000004</v>
      </c>
      <c r="BO14" s="135">
        <f t="shared" si="20"/>
        <v>540.78700000000003</v>
      </c>
      <c r="BP14" s="126">
        <f t="shared" si="20"/>
        <v>609.029</v>
      </c>
      <c r="BQ14" s="133">
        <f t="shared" ref="BQ14:DS14" si="23">BQ15+BQ16</f>
        <v>255.88900000000001</v>
      </c>
      <c r="BR14" s="134">
        <f t="shared" si="23"/>
        <v>254.77500000000001</v>
      </c>
      <c r="BS14" s="135">
        <f t="shared" si="23"/>
        <v>510.66399999999999</v>
      </c>
      <c r="BT14" s="386">
        <f t="shared" si="23"/>
        <v>575.221</v>
      </c>
      <c r="BU14" s="397">
        <f t="shared" si="23"/>
        <v>254.43400000000003</v>
      </c>
      <c r="BV14" s="398">
        <f t="shared" si="23"/>
        <v>234.14299999999997</v>
      </c>
      <c r="BW14" s="399">
        <f t="shared" si="23"/>
        <v>488.577</v>
      </c>
      <c r="BX14" s="126">
        <f t="shared" ref="BX14:CA14" si="24">BX15+BX16</f>
        <v>575.221</v>
      </c>
      <c r="BY14" s="133">
        <f t="shared" si="24"/>
        <v>0</v>
      </c>
      <c r="BZ14" s="134">
        <f t="shared" si="24"/>
        <v>0</v>
      </c>
      <c r="CA14" s="135">
        <f t="shared" si="24"/>
        <v>0</v>
      </c>
      <c r="CB14" s="126">
        <f t="shared" si="23"/>
        <v>609.029</v>
      </c>
      <c r="CC14" s="133">
        <f t="shared" si="23"/>
        <v>0</v>
      </c>
      <c r="CD14" s="134">
        <f t="shared" si="23"/>
        <v>0</v>
      </c>
      <c r="CE14" s="135">
        <f t="shared" si="23"/>
        <v>0</v>
      </c>
      <c r="CF14" s="126">
        <f t="shared" si="23"/>
        <v>386.81299999999999</v>
      </c>
      <c r="CG14" s="133">
        <f t="shared" si="23"/>
        <v>148.72</v>
      </c>
      <c r="CH14" s="134">
        <f t="shared" si="23"/>
        <v>139.78</v>
      </c>
      <c r="CI14" s="135">
        <f t="shared" si="23"/>
        <v>288.5</v>
      </c>
      <c r="CJ14" s="126">
        <f t="shared" si="23"/>
        <v>356.16699999999997</v>
      </c>
      <c r="CK14" s="133">
        <f t="shared" si="23"/>
        <v>143.12</v>
      </c>
      <c r="CL14" s="134">
        <f t="shared" si="23"/>
        <v>151.15</v>
      </c>
      <c r="CM14" s="135">
        <f t="shared" si="23"/>
        <v>294.27</v>
      </c>
      <c r="CN14" s="386">
        <f t="shared" si="23"/>
        <v>329.43</v>
      </c>
      <c r="CO14" s="397">
        <f t="shared" si="23"/>
        <v>138.38999999999999</v>
      </c>
      <c r="CP14" s="398">
        <f t="shared" si="23"/>
        <v>145.95000000000002</v>
      </c>
      <c r="CQ14" s="399">
        <f t="shared" si="23"/>
        <v>284.34000000000003</v>
      </c>
      <c r="CR14" s="126">
        <f t="shared" ref="CR14:CU14" si="25">CR15+CR16</f>
        <v>329.43</v>
      </c>
      <c r="CS14" s="133">
        <f t="shared" si="25"/>
        <v>0</v>
      </c>
      <c r="CT14" s="134">
        <f t="shared" si="25"/>
        <v>0</v>
      </c>
      <c r="CU14" s="135">
        <f t="shared" si="25"/>
        <v>0</v>
      </c>
      <c r="CV14" s="126">
        <f t="shared" si="23"/>
        <v>356.16699999999997</v>
      </c>
      <c r="CW14" s="133">
        <f>CW15+CW16</f>
        <v>0</v>
      </c>
      <c r="CX14" s="134">
        <f>CX15+CX16</f>
        <v>0</v>
      </c>
      <c r="CY14" s="135">
        <f>CY15+CY16</f>
        <v>0</v>
      </c>
      <c r="CZ14" s="126">
        <f t="shared" si="23"/>
        <v>660.298</v>
      </c>
      <c r="DA14" s="133">
        <f t="shared" si="23"/>
        <v>312.28800000000001</v>
      </c>
      <c r="DB14" s="134">
        <f t="shared" si="23"/>
        <v>311.64400000000001</v>
      </c>
      <c r="DC14" s="136">
        <f t="shared" si="23"/>
        <v>623.93200000000002</v>
      </c>
      <c r="DD14" s="126">
        <f t="shared" si="23"/>
        <v>660.298</v>
      </c>
      <c r="DE14" s="133">
        <f t="shared" si="23"/>
        <v>303.09699999999998</v>
      </c>
      <c r="DF14" s="134">
        <f t="shared" si="23"/>
        <v>289.17</v>
      </c>
      <c r="DG14" s="135">
        <f t="shared" si="23"/>
        <v>592.26700000000005</v>
      </c>
      <c r="DH14" s="386">
        <f t="shared" si="23"/>
        <v>648.12400000000002</v>
      </c>
      <c r="DI14" s="397">
        <f t="shared" si="23"/>
        <v>293.06099999999998</v>
      </c>
      <c r="DJ14" s="398">
        <f t="shared" si="23"/>
        <v>298.11</v>
      </c>
      <c r="DK14" s="399">
        <f t="shared" si="23"/>
        <v>591.17100000000005</v>
      </c>
      <c r="DL14" s="126">
        <f t="shared" ref="DL14:DO14" si="26">DL15+DL16</f>
        <v>648.12400000000002</v>
      </c>
      <c r="DM14" s="133">
        <f t="shared" si="26"/>
        <v>0</v>
      </c>
      <c r="DN14" s="134">
        <f t="shared" si="26"/>
        <v>0</v>
      </c>
      <c r="DO14" s="135">
        <f t="shared" si="26"/>
        <v>0</v>
      </c>
      <c r="DP14" s="126">
        <f t="shared" si="23"/>
        <v>660.298</v>
      </c>
      <c r="DQ14" s="133">
        <f t="shared" si="23"/>
        <v>0</v>
      </c>
      <c r="DR14" s="134">
        <f t="shared" si="23"/>
        <v>0</v>
      </c>
      <c r="DS14" s="136">
        <f t="shared" si="23"/>
        <v>0</v>
      </c>
      <c r="DT14" s="39"/>
    </row>
    <row r="15" spans="1:124" s="20" customFormat="1" ht="18" customHeight="1" x14ac:dyDescent="0.2">
      <c r="A15" s="26" t="s">
        <v>102</v>
      </c>
      <c r="B15" s="147" t="s">
        <v>103</v>
      </c>
      <c r="C15" s="148" t="s">
        <v>96</v>
      </c>
      <c r="D15" s="149">
        <v>71739.885000000009</v>
      </c>
      <c r="E15" s="150">
        <v>46516.398000000001</v>
      </c>
      <c r="F15" s="151">
        <v>63654.678</v>
      </c>
      <c r="G15" s="135">
        <f>E15+F15</f>
        <v>110171.076</v>
      </c>
      <c r="H15" s="126">
        <f>D15</f>
        <v>71739.885000000009</v>
      </c>
      <c r="I15" s="133">
        <v>70463.898000000001</v>
      </c>
      <c r="J15" s="134">
        <v>51517.307000000015</v>
      </c>
      <c r="K15" s="135">
        <f>I15+J15</f>
        <v>121981.20500000002</v>
      </c>
      <c r="L15" s="386">
        <v>68469.785000000003</v>
      </c>
      <c r="M15" s="407"/>
      <c r="N15" s="408"/>
      <c r="O15" s="399">
        <f>M15+N15</f>
        <v>0</v>
      </c>
      <c r="P15" s="126">
        <f>L15</f>
        <v>68469.785000000003</v>
      </c>
      <c r="Q15" s="150"/>
      <c r="R15" s="151"/>
      <c r="S15" s="135">
        <f>Q15+R15</f>
        <v>0</v>
      </c>
      <c r="T15" s="126">
        <f>H15</f>
        <v>71739.885000000009</v>
      </c>
      <c r="U15" s="150"/>
      <c r="V15" s="151"/>
      <c r="W15" s="135"/>
      <c r="X15" s="149">
        <v>1083.5840000000001</v>
      </c>
      <c r="Y15" s="150">
        <v>474</v>
      </c>
      <c r="Z15" s="151">
        <v>457</v>
      </c>
      <c r="AA15" s="135">
        <f>Y15+Z15</f>
        <v>931</v>
      </c>
      <c r="AB15" s="126">
        <f>X15</f>
        <v>1083.5840000000001</v>
      </c>
      <c r="AC15" s="150">
        <v>402</v>
      </c>
      <c r="AD15" s="151">
        <v>376</v>
      </c>
      <c r="AE15" s="135">
        <f>AC15+AD15</f>
        <v>778</v>
      </c>
      <c r="AF15" s="386">
        <v>1024.854</v>
      </c>
      <c r="AG15" s="407">
        <v>378</v>
      </c>
      <c r="AH15" s="408">
        <v>374</v>
      </c>
      <c r="AI15" s="399">
        <f>AG15+AH15</f>
        <v>752</v>
      </c>
      <c r="AJ15" s="126">
        <f>AF15</f>
        <v>1024.854</v>
      </c>
      <c r="AK15" s="150"/>
      <c r="AL15" s="151"/>
      <c r="AM15" s="135">
        <f>AK15+AL15</f>
        <v>0</v>
      </c>
      <c r="AN15" s="126">
        <f>AB15</f>
        <v>1083.5840000000001</v>
      </c>
      <c r="AO15" s="150"/>
      <c r="AP15" s="151"/>
      <c r="AQ15" s="135"/>
      <c r="AR15" s="126">
        <v>166.464</v>
      </c>
      <c r="AS15" s="150">
        <v>84.885999999999996</v>
      </c>
      <c r="AT15" s="151">
        <v>68.835999999999999</v>
      </c>
      <c r="AU15" s="136">
        <f>AS15+AT15</f>
        <v>153.72199999999998</v>
      </c>
      <c r="AV15" s="126">
        <f>AR15</f>
        <v>166.464</v>
      </c>
      <c r="AW15" s="150">
        <v>69.83</v>
      </c>
      <c r="AX15" s="151">
        <v>62.89</v>
      </c>
      <c r="AY15" s="136">
        <f>AW15+AX15</f>
        <v>132.72</v>
      </c>
      <c r="AZ15" s="386">
        <v>160.267</v>
      </c>
      <c r="BA15" s="407">
        <v>68.913999999999987</v>
      </c>
      <c r="BB15" s="408">
        <v>66.254000000000005</v>
      </c>
      <c r="BC15" s="399">
        <f>BA15+BB15</f>
        <v>135.16800000000001</v>
      </c>
      <c r="BD15" s="126">
        <f>AZ15</f>
        <v>160.267</v>
      </c>
      <c r="BE15" s="150"/>
      <c r="BF15" s="151"/>
      <c r="BG15" s="135">
        <f>BE15+BF15</f>
        <v>0</v>
      </c>
      <c r="BH15" s="126">
        <f>AV15</f>
        <v>166.464</v>
      </c>
      <c r="BI15" s="150"/>
      <c r="BJ15" s="151"/>
      <c r="BK15" s="136"/>
      <c r="BL15" s="126">
        <v>609.029</v>
      </c>
      <c r="BM15" s="150">
        <v>286.303</v>
      </c>
      <c r="BN15" s="151">
        <v>254.48400000000004</v>
      </c>
      <c r="BO15" s="135">
        <f>BM15+BN15</f>
        <v>540.78700000000003</v>
      </c>
      <c r="BP15" s="126">
        <f>BL15</f>
        <v>609.029</v>
      </c>
      <c r="BQ15" s="150">
        <v>255.88900000000001</v>
      </c>
      <c r="BR15" s="151">
        <v>254.77500000000001</v>
      </c>
      <c r="BS15" s="135">
        <f>BQ15+BR15</f>
        <v>510.66399999999999</v>
      </c>
      <c r="BT15" s="386">
        <v>575.221</v>
      </c>
      <c r="BU15" s="407">
        <v>254.43400000000003</v>
      </c>
      <c r="BV15" s="408">
        <v>234.14299999999997</v>
      </c>
      <c r="BW15" s="399">
        <f>BU15+BV15</f>
        <v>488.577</v>
      </c>
      <c r="BX15" s="126">
        <f>BT15</f>
        <v>575.221</v>
      </c>
      <c r="BY15" s="150"/>
      <c r="BZ15" s="151"/>
      <c r="CA15" s="135">
        <f>BY15+BZ15</f>
        <v>0</v>
      </c>
      <c r="CB15" s="126">
        <f>BP15</f>
        <v>609.029</v>
      </c>
      <c r="CC15" s="150"/>
      <c r="CD15" s="151"/>
      <c r="CE15" s="135"/>
      <c r="CF15" s="126">
        <v>386.81299999999999</v>
      </c>
      <c r="CG15" s="150">
        <v>148.72</v>
      </c>
      <c r="CH15" s="151">
        <v>139.78</v>
      </c>
      <c r="CI15" s="135">
        <f>CG15+CH15</f>
        <v>288.5</v>
      </c>
      <c r="CJ15" s="126">
        <f>[2]Омол!$K$18</f>
        <v>356.16699999999997</v>
      </c>
      <c r="CK15" s="150">
        <v>143.12</v>
      </c>
      <c r="CL15" s="151">
        <v>151.15</v>
      </c>
      <c r="CM15" s="135">
        <f>CK15+CL15</f>
        <v>294.27</v>
      </c>
      <c r="CN15" s="386">
        <v>329.43</v>
      </c>
      <c r="CO15" s="407">
        <v>138.38999999999999</v>
      </c>
      <c r="CP15" s="408">
        <v>145.95000000000002</v>
      </c>
      <c r="CQ15" s="399">
        <f>CO15+CP15</f>
        <v>284.34000000000003</v>
      </c>
      <c r="CR15" s="126">
        <f>CN15</f>
        <v>329.43</v>
      </c>
      <c r="CS15" s="150"/>
      <c r="CT15" s="151"/>
      <c r="CU15" s="135">
        <f>CS15+CT15</f>
        <v>0</v>
      </c>
      <c r="CV15" s="126">
        <f>CJ15</f>
        <v>356.16699999999997</v>
      </c>
      <c r="CW15" s="150"/>
      <c r="CX15" s="151"/>
      <c r="CY15" s="135"/>
      <c r="CZ15" s="126">
        <v>660.298</v>
      </c>
      <c r="DA15" s="133">
        <v>312.28800000000001</v>
      </c>
      <c r="DB15" s="134">
        <v>311.64400000000001</v>
      </c>
      <c r="DC15" s="136">
        <f>DA15+DB15</f>
        <v>623.93200000000002</v>
      </c>
      <c r="DD15" s="126">
        <f>CZ15</f>
        <v>660.298</v>
      </c>
      <c r="DE15" s="133">
        <v>303.09699999999998</v>
      </c>
      <c r="DF15" s="134">
        <v>289.17</v>
      </c>
      <c r="DG15" s="135">
        <f>DE15+DF15</f>
        <v>592.26700000000005</v>
      </c>
      <c r="DH15" s="386">
        <v>648.12400000000002</v>
      </c>
      <c r="DI15" s="397">
        <v>293.06099999999998</v>
      </c>
      <c r="DJ15" s="398">
        <v>298.11</v>
      </c>
      <c r="DK15" s="399">
        <f>DI15+DJ15</f>
        <v>591.17100000000005</v>
      </c>
      <c r="DL15" s="126">
        <f>DH15</f>
        <v>648.12400000000002</v>
      </c>
      <c r="DM15" s="133"/>
      <c r="DN15" s="134"/>
      <c r="DO15" s="135">
        <f>DM15+DN15</f>
        <v>0</v>
      </c>
      <c r="DP15" s="126">
        <f>DD15</f>
        <v>660.298</v>
      </c>
      <c r="DQ15" s="150"/>
      <c r="DR15" s="151"/>
      <c r="DS15" s="136"/>
      <c r="DT15" s="39"/>
    </row>
    <row r="16" spans="1:124" s="20" customFormat="1" ht="18" customHeight="1" x14ac:dyDescent="0.2">
      <c r="A16" s="23" t="s">
        <v>104</v>
      </c>
      <c r="B16" s="147" t="s">
        <v>105</v>
      </c>
      <c r="C16" s="132" t="s">
        <v>96</v>
      </c>
      <c r="D16" s="126"/>
      <c r="E16" s="133"/>
      <c r="F16" s="134"/>
      <c r="G16" s="135">
        <f>E16+F16</f>
        <v>0</v>
      </c>
      <c r="H16" s="126"/>
      <c r="I16" s="133"/>
      <c r="J16" s="134"/>
      <c r="K16" s="135">
        <f>I16+J16</f>
        <v>0</v>
      </c>
      <c r="L16" s="386"/>
      <c r="M16" s="397"/>
      <c r="N16" s="398"/>
      <c r="O16" s="399">
        <f>M16+N16</f>
        <v>0</v>
      </c>
      <c r="P16" s="126"/>
      <c r="Q16" s="133"/>
      <c r="R16" s="134"/>
      <c r="S16" s="135">
        <f>Q16+R16</f>
        <v>0</v>
      </c>
      <c r="T16" s="126"/>
      <c r="U16" s="133"/>
      <c r="V16" s="134"/>
      <c r="W16" s="135"/>
      <c r="X16" s="126"/>
      <c r="Y16" s="133"/>
      <c r="Z16" s="134"/>
      <c r="AA16" s="135">
        <f>Y16+Z16</f>
        <v>0</v>
      </c>
      <c r="AB16" s="126"/>
      <c r="AC16" s="133"/>
      <c r="AD16" s="134"/>
      <c r="AE16" s="135">
        <f>AC16+AD16</f>
        <v>0</v>
      </c>
      <c r="AF16" s="386"/>
      <c r="AG16" s="397"/>
      <c r="AH16" s="398"/>
      <c r="AI16" s="399">
        <f>AG16+AH16</f>
        <v>0</v>
      </c>
      <c r="AJ16" s="126"/>
      <c r="AK16" s="133"/>
      <c r="AL16" s="134"/>
      <c r="AM16" s="135">
        <f>AK16+AL16</f>
        <v>0</v>
      </c>
      <c r="AN16" s="126"/>
      <c r="AO16" s="133"/>
      <c r="AP16" s="134"/>
      <c r="AQ16" s="135"/>
      <c r="AR16" s="126"/>
      <c r="AS16" s="133"/>
      <c r="AT16" s="134"/>
      <c r="AU16" s="136">
        <f>AS16+AT16</f>
        <v>0</v>
      </c>
      <c r="AV16" s="126"/>
      <c r="AW16" s="133"/>
      <c r="AX16" s="134"/>
      <c r="AY16" s="136">
        <f>AW16+AX16</f>
        <v>0</v>
      </c>
      <c r="AZ16" s="386"/>
      <c r="BA16" s="397"/>
      <c r="BB16" s="398"/>
      <c r="BC16" s="399">
        <f>BA16+BB16</f>
        <v>0</v>
      </c>
      <c r="BD16" s="126"/>
      <c r="BE16" s="133"/>
      <c r="BF16" s="134"/>
      <c r="BG16" s="135">
        <f>BE16+BF16</f>
        <v>0</v>
      </c>
      <c r="BH16" s="126"/>
      <c r="BI16" s="133"/>
      <c r="BJ16" s="134"/>
      <c r="BK16" s="136"/>
      <c r="BL16" s="126"/>
      <c r="BM16" s="133"/>
      <c r="BN16" s="134"/>
      <c r="BO16" s="135"/>
      <c r="BP16" s="126"/>
      <c r="BQ16" s="133"/>
      <c r="BR16" s="134"/>
      <c r="BS16" s="135">
        <f>BQ16+BR16</f>
        <v>0</v>
      </c>
      <c r="BT16" s="386"/>
      <c r="BU16" s="397"/>
      <c r="BV16" s="398"/>
      <c r="BW16" s="399">
        <f>BU16+BV16</f>
        <v>0</v>
      </c>
      <c r="BX16" s="126"/>
      <c r="BY16" s="133"/>
      <c r="BZ16" s="134"/>
      <c r="CA16" s="135">
        <f>BY16+BZ16</f>
        <v>0</v>
      </c>
      <c r="CB16" s="126"/>
      <c r="CC16" s="133"/>
      <c r="CD16" s="134"/>
      <c r="CE16" s="135"/>
      <c r="CF16" s="126"/>
      <c r="CG16" s="133"/>
      <c r="CH16" s="134"/>
      <c r="CI16" s="135"/>
      <c r="CJ16" s="126"/>
      <c r="CK16" s="133"/>
      <c r="CL16" s="134"/>
      <c r="CM16" s="135">
        <f>CK16+CL16</f>
        <v>0</v>
      </c>
      <c r="CN16" s="386"/>
      <c r="CO16" s="397"/>
      <c r="CP16" s="398"/>
      <c r="CQ16" s="399">
        <f>CO16+CP16</f>
        <v>0</v>
      </c>
      <c r="CR16" s="126"/>
      <c r="CS16" s="133"/>
      <c r="CT16" s="134"/>
      <c r="CU16" s="135">
        <f>CS16+CT16</f>
        <v>0</v>
      </c>
      <c r="CV16" s="126"/>
      <c r="CW16" s="133"/>
      <c r="CX16" s="134"/>
      <c r="CY16" s="135"/>
      <c r="CZ16" s="126"/>
      <c r="DA16" s="133"/>
      <c r="DB16" s="134"/>
      <c r="DC16" s="136"/>
      <c r="DD16" s="126"/>
      <c r="DE16" s="133"/>
      <c r="DF16" s="134"/>
      <c r="DG16" s="135">
        <f>DE16+DF16</f>
        <v>0</v>
      </c>
      <c r="DH16" s="386"/>
      <c r="DI16" s="397"/>
      <c r="DJ16" s="398"/>
      <c r="DK16" s="399">
        <f>DI16+DJ16</f>
        <v>0</v>
      </c>
      <c r="DL16" s="126"/>
      <c r="DM16" s="133"/>
      <c r="DN16" s="134"/>
      <c r="DO16" s="135">
        <f>DM16+DN16</f>
        <v>0</v>
      </c>
      <c r="DP16" s="126"/>
      <c r="DQ16" s="133"/>
      <c r="DR16" s="134"/>
      <c r="DS16" s="136"/>
      <c r="DT16" s="39"/>
    </row>
    <row r="17" spans="1:124" s="25" customFormat="1" ht="18" customHeight="1" x14ac:dyDescent="0.2">
      <c r="A17" s="24" t="s">
        <v>46</v>
      </c>
      <c r="B17" s="152" t="s">
        <v>106</v>
      </c>
      <c r="C17" s="153" t="s">
        <v>96</v>
      </c>
      <c r="D17" s="154">
        <f t="shared" ref="D17:BP17" si="27">D13-D14</f>
        <v>1064147.101</v>
      </c>
      <c r="E17" s="155">
        <f t="shared" si="27"/>
        <v>488018.45</v>
      </c>
      <c r="F17" s="156">
        <f t="shared" si="27"/>
        <v>425208.17799999996</v>
      </c>
      <c r="G17" s="141">
        <f t="shared" si="27"/>
        <v>913226.62800000003</v>
      </c>
      <c r="H17" s="138">
        <f t="shared" si="27"/>
        <v>1064147.101</v>
      </c>
      <c r="I17" s="155">
        <f t="shared" si="27"/>
        <v>469534.97399999999</v>
      </c>
      <c r="J17" s="156">
        <f t="shared" si="27"/>
        <v>416871.03799999994</v>
      </c>
      <c r="K17" s="141">
        <f t="shared" si="27"/>
        <v>886406.01199999987</v>
      </c>
      <c r="L17" s="387">
        <f t="shared" si="27"/>
        <v>1015640.36</v>
      </c>
      <c r="M17" s="409">
        <f t="shared" si="27"/>
        <v>458899.81599999999</v>
      </c>
      <c r="N17" s="410">
        <f t="shared" si="27"/>
        <v>455719.86699999997</v>
      </c>
      <c r="O17" s="405">
        <f t="shared" si="27"/>
        <v>914619.68300000008</v>
      </c>
      <c r="P17" s="138">
        <f t="shared" ref="P17:S17" si="28">P13-P14</f>
        <v>1015640.36</v>
      </c>
      <c r="Q17" s="155">
        <f t="shared" si="28"/>
        <v>0</v>
      </c>
      <c r="R17" s="156">
        <f t="shared" si="28"/>
        <v>0</v>
      </c>
      <c r="S17" s="141">
        <f t="shared" si="28"/>
        <v>0</v>
      </c>
      <c r="T17" s="138">
        <f t="shared" si="27"/>
        <v>1064147.101</v>
      </c>
      <c r="U17" s="155">
        <f>U13-U14</f>
        <v>0</v>
      </c>
      <c r="V17" s="156">
        <f>V13-V14</f>
        <v>0</v>
      </c>
      <c r="W17" s="141">
        <f>W13-W14</f>
        <v>0</v>
      </c>
      <c r="X17" s="154">
        <f t="shared" si="27"/>
        <v>38538.102999999996</v>
      </c>
      <c r="Y17" s="155">
        <f t="shared" si="27"/>
        <v>17217.813999999998</v>
      </c>
      <c r="Z17" s="156">
        <f t="shared" si="27"/>
        <v>16446.099000000002</v>
      </c>
      <c r="AA17" s="141">
        <f t="shared" si="27"/>
        <v>33663.913</v>
      </c>
      <c r="AB17" s="138">
        <f t="shared" si="27"/>
        <v>38538.102999999996</v>
      </c>
      <c r="AC17" s="155">
        <f t="shared" si="27"/>
        <v>14477.022999999999</v>
      </c>
      <c r="AD17" s="156">
        <f t="shared" si="27"/>
        <v>13556.44</v>
      </c>
      <c r="AE17" s="141">
        <f t="shared" si="27"/>
        <v>28033.463</v>
      </c>
      <c r="AF17" s="387">
        <f t="shared" si="27"/>
        <v>36449.343000000001</v>
      </c>
      <c r="AG17" s="409">
        <f t="shared" si="27"/>
        <v>13643.102000000001</v>
      </c>
      <c r="AH17" s="410">
        <f t="shared" si="27"/>
        <v>13469.635</v>
      </c>
      <c r="AI17" s="405">
        <f t="shared" si="27"/>
        <v>27112.737000000001</v>
      </c>
      <c r="AJ17" s="138">
        <f t="shared" ref="AJ17:AM17" si="29">AJ13-AJ14</f>
        <v>36449.343000000001</v>
      </c>
      <c r="AK17" s="155">
        <f t="shared" si="29"/>
        <v>0</v>
      </c>
      <c r="AL17" s="156">
        <f t="shared" si="29"/>
        <v>0</v>
      </c>
      <c r="AM17" s="141">
        <f t="shared" si="29"/>
        <v>0</v>
      </c>
      <c r="AN17" s="138">
        <f t="shared" si="27"/>
        <v>38538.102999999996</v>
      </c>
      <c r="AO17" s="155">
        <f t="shared" si="27"/>
        <v>0</v>
      </c>
      <c r="AP17" s="156">
        <f t="shared" si="27"/>
        <v>0</v>
      </c>
      <c r="AQ17" s="141">
        <f t="shared" si="27"/>
        <v>0</v>
      </c>
      <c r="AR17" s="154">
        <f t="shared" si="27"/>
        <v>19517.870000000003</v>
      </c>
      <c r="AS17" s="155">
        <f t="shared" si="27"/>
        <v>9549.7960000000003</v>
      </c>
      <c r="AT17" s="156">
        <f t="shared" si="27"/>
        <v>8535.6130000000012</v>
      </c>
      <c r="AU17" s="142">
        <f t="shared" si="27"/>
        <v>18085.409</v>
      </c>
      <c r="AV17" s="138">
        <f t="shared" si="27"/>
        <v>19517.870000000003</v>
      </c>
      <c r="AW17" s="155">
        <f t="shared" si="27"/>
        <v>8658.844000000001</v>
      </c>
      <c r="AX17" s="156">
        <f t="shared" si="27"/>
        <v>7798.3429999999998</v>
      </c>
      <c r="AY17" s="142">
        <f t="shared" si="27"/>
        <v>16457.186999999998</v>
      </c>
      <c r="AZ17" s="387">
        <f t="shared" si="27"/>
        <v>18791.3</v>
      </c>
      <c r="BA17" s="409">
        <f t="shared" si="27"/>
        <v>8545.2569999999996</v>
      </c>
      <c r="BB17" s="410">
        <f t="shared" si="27"/>
        <v>8215.3249999999989</v>
      </c>
      <c r="BC17" s="405">
        <f t="shared" si="27"/>
        <v>16760.581999999999</v>
      </c>
      <c r="BD17" s="138">
        <f t="shared" ref="BD17:BG17" si="30">BD13-BD14</f>
        <v>18791.3</v>
      </c>
      <c r="BE17" s="155">
        <f t="shared" si="30"/>
        <v>0</v>
      </c>
      <c r="BF17" s="156">
        <f t="shared" si="30"/>
        <v>0</v>
      </c>
      <c r="BG17" s="141">
        <f t="shared" si="30"/>
        <v>0</v>
      </c>
      <c r="BH17" s="138">
        <f t="shared" si="27"/>
        <v>19517.870000000003</v>
      </c>
      <c r="BI17" s="155">
        <f>BI13-BI14</f>
        <v>0</v>
      </c>
      <c r="BJ17" s="156">
        <f>BJ13-BJ14</f>
        <v>0</v>
      </c>
      <c r="BK17" s="142">
        <f>BK13-BK14</f>
        <v>0</v>
      </c>
      <c r="BL17" s="154">
        <f t="shared" si="27"/>
        <v>31800.918000000005</v>
      </c>
      <c r="BM17" s="155">
        <f t="shared" si="27"/>
        <v>14896.262000000001</v>
      </c>
      <c r="BN17" s="156">
        <f t="shared" si="27"/>
        <v>13238.161</v>
      </c>
      <c r="BO17" s="141">
        <f t="shared" si="27"/>
        <v>28134.422999999999</v>
      </c>
      <c r="BP17" s="138">
        <f t="shared" si="27"/>
        <v>31800.918000000005</v>
      </c>
      <c r="BQ17" s="155">
        <f t="shared" ref="BQ17:DS17" si="31">BQ13-BQ14</f>
        <v>13211.923000000003</v>
      </c>
      <c r="BR17" s="156">
        <f t="shared" si="31"/>
        <v>13154.444000000001</v>
      </c>
      <c r="BS17" s="141">
        <f t="shared" si="31"/>
        <v>26366.367000000002</v>
      </c>
      <c r="BT17" s="387">
        <f t="shared" si="31"/>
        <v>30035.607999999993</v>
      </c>
      <c r="BU17" s="409">
        <f>BU13-BU14</f>
        <v>13136.864</v>
      </c>
      <c r="BV17" s="410">
        <f t="shared" si="31"/>
        <v>12089.165999999997</v>
      </c>
      <c r="BW17" s="405">
        <f t="shared" si="31"/>
        <v>25226.029999999995</v>
      </c>
      <c r="BX17" s="138">
        <f t="shared" ref="BX17:CA17" si="32">BX13-BX14</f>
        <v>30035.607999999993</v>
      </c>
      <c r="BY17" s="155">
        <f t="shared" si="32"/>
        <v>0</v>
      </c>
      <c r="BZ17" s="156">
        <f t="shared" si="32"/>
        <v>0</v>
      </c>
      <c r="CA17" s="141">
        <f t="shared" si="32"/>
        <v>0</v>
      </c>
      <c r="CB17" s="138">
        <f t="shared" si="31"/>
        <v>31800.918000000005</v>
      </c>
      <c r="CC17" s="155">
        <f t="shared" si="31"/>
        <v>0</v>
      </c>
      <c r="CD17" s="156">
        <f t="shared" si="31"/>
        <v>0</v>
      </c>
      <c r="CE17" s="141">
        <f t="shared" si="31"/>
        <v>0</v>
      </c>
      <c r="CF17" s="154">
        <f t="shared" si="31"/>
        <v>26289.789000000004</v>
      </c>
      <c r="CG17" s="155">
        <f t="shared" si="31"/>
        <v>10116.310000000001</v>
      </c>
      <c r="CH17" s="156">
        <f t="shared" si="31"/>
        <v>9603.7039999999997</v>
      </c>
      <c r="CI17" s="141">
        <f t="shared" si="31"/>
        <v>19720.013999999999</v>
      </c>
      <c r="CJ17" s="138">
        <f>CJ13-CJ14</f>
        <v>24207.053999999996</v>
      </c>
      <c r="CK17" s="155">
        <f t="shared" si="31"/>
        <v>9542.1039999999994</v>
      </c>
      <c r="CL17" s="156">
        <f t="shared" si="31"/>
        <v>10076.838000000003</v>
      </c>
      <c r="CM17" s="141">
        <f t="shared" si="31"/>
        <v>19618.942000000003</v>
      </c>
      <c r="CN17" s="387">
        <f t="shared" si="31"/>
        <v>22389.858</v>
      </c>
      <c r="CO17" s="409">
        <f t="shared" si="31"/>
        <v>9226.259</v>
      </c>
      <c r="CP17" s="410">
        <f t="shared" si="31"/>
        <v>9730.0990000000002</v>
      </c>
      <c r="CQ17" s="405">
        <f t="shared" si="31"/>
        <v>18956.358</v>
      </c>
      <c r="CR17" s="138">
        <f t="shared" ref="CR17:CU17" si="33">CR13-CR14</f>
        <v>22389.858</v>
      </c>
      <c r="CS17" s="155">
        <f t="shared" si="33"/>
        <v>0</v>
      </c>
      <c r="CT17" s="156">
        <f t="shared" si="33"/>
        <v>0</v>
      </c>
      <c r="CU17" s="141">
        <f t="shared" si="33"/>
        <v>0</v>
      </c>
      <c r="CV17" s="138">
        <f t="shared" si="31"/>
        <v>24207.053999999996</v>
      </c>
      <c r="CW17" s="155">
        <f>CW13-CW14</f>
        <v>0</v>
      </c>
      <c r="CX17" s="156">
        <f>CX13-CX14</f>
        <v>0</v>
      </c>
      <c r="CY17" s="141">
        <f>CY13-CY14</f>
        <v>0</v>
      </c>
      <c r="CZ17" s="154">
        <f t="shared" si="31"/>
        <v>26815.473000000002</v>
      </c>
      <c r="DA17" s="155">
        <f t="shared" si="31"/>
        <v>12699.682999999999</v>
      </c>
      <c r="DB17" s="156">
        <f t="shared" si="31"/>
        <v>12673.500999999998</v>
      </c>
      <c r="DC17" s="142">
        <f t="shared" si="31"/>
        <v>25373.183999999997</v>
      </c>
      <c r="DD17" s="138">
        <f t="shared" si="31"/>
        <v>26815.473000000002</v>
      </c>
      <c r="DE17" s="155">
        <f t="shared" si="31"/>
        <v>12325.956</v>
      </c>
      <c r="DF17" s="156">
        <f t="shared" si="31"/>
        <v>11759.583999999999</v>
      </c>
      <c r="DG17" s="141">
        <f t="shared" si="31"/>
        <v>24085.54</v>
      </c>
      <c r="DH17" s="387">
        <f t="shared" si="31"/>
        <v>26321.088</v>
      </c>
      <c r="DI17" s="409">
        <f t="shared" si="31"/>
        <v>11917.846000000001</v>
      </c>
      <c r="DJ17" s="410">
        <f t="shared" si="31"/>
        <v>12123.162999999999</v>
      </c>
      <c r="DK17" s="405">
        <f t="shared" si="31"/>
        <v>24041.009000000002</v>
      </c>
      <c r="DL17" s="138">
        <f t="shared" ref="DL17:DO17" si="34">DL13-DL14</f>
        <v>26321.088</v>
      </c>
      <c r="DM17" s="155">
        <f t="shared" si="34"/>
        <v>0</v>
      </c>
      <c r="DN17" s="156">
        <f t="shared" si="34"/>
        <v>0</v>
      </c>
      <c r="DO17" s="141">
        <f t="shared" si="34"/>
        <v>0</v>
      </c>
      <c r="DP17" s="138">
        <f t="shared" si="31"/>
        <v>26815.473000000002</v>
      </c>
      <c r="DQ17" s="155">
        <f t="shared" si="31"/>
        <v>0</v>
      </c>
      <c r="DR17" s="156">
        <f t="shared" si="31"/>
        <v>0</v>
      </c>
      <c r="DS17" s="142">
        <f t="shared" si="31"/>
        <v>0</v>
      </c>
      <c r="DT17" s="40"/>
    </row>
    <row r="18" spans="1:124" s="20" customFormat="1" ht="18.75" customHeight="1" x14ac:dyDescent="0.2">
      <c r="A18" s="22" t="s">
        <v>47</v>
      </c>
      <c r="B18" s="143" t="s">
        <v>107</v>
      </c>
      <c r="C18" s="132" t="s">
        <v>96</v>
      </c>
      <c r="D18" s="126">
        <f t="shared" ref="D18:K18" si="35">D19+D20+D21</f>
        <v>727929.97</v>
      </c>
      <c r="E18" s="133">
        <f t="shared" si="35"/>
        <v>312297.92599999998</v>
      </c>
      <c r="F18" s="134">
        <f t="shared" si="35"/>
        <v>258648.85700000002</v>
      </c>
      <c r="G18" s="129">
        <f t="shared" si="35"/>
        <v>570946.78300000005</v>
      </c>
      <c r="H18" s="126">
        <f t="shared" si="35"/>
        <v>727929.97</v>
      </c>
      <c r="I18" s="133">
        <f t="shared" si="35"/>
        <v>300611.23599999998</v>
      </c>
      <c r="J18" s="134">
        <f t="shared" si="35"/>
        <v>249837.05499999999</v>
      </c>
      <c r="K18" s="129">
        <f t="shared" si="35"/>
        <v>550448.29099999997</v>
      </c>
      <c r="L18" s="386">
        <v>663809.05099999998</v>
      </c>
      <c r="M18" s="397">
        <f>282288.801+61.9</f>
        <v>282350.701</v>
      </c>
      <c r="N18" s="398">
        <f>279553.009+53.3</f>
        <v>279606.30900000001</v>
      </c>
      <c r="O18" s="396">
        <f>O19+O20+O21</f>
        <v>561957.01</v>
      </c>
      <c r="P18" s="126">
        <f>P19+P20+P21</f>
        <v>663809.05099999998</v>
      </c>
      <c r="Q18" s="133"/>
      <c r="R18" s="134"/>
      <c r="S18" s="129">
        <f t="shared" ref="S18:AB18" si="36">S19+S20+S21</f>
        <v>0</v>
      </c>
      <c r="T18" s="126">
        <f t="shared" si="36"/>
        <v>727929.97</v>
      </c>
      <c r="U18" s="133">
        <f t="shared" si="36"/>
        <v>0</v>
      </c>
      <c r="V18" s="134">
        <f t="shared" si="36"/>
        <v>0</v>
      </c>
      <c r="W18" s="129">
        <f t="shared" si="36"/>
        <v>0</v>
      </c>
      <c r="X18" s="126">
        <f t="shared" si="36"/>
        <v>3749.9189999999999</v>
      </c>
      <c r="Y18" s="133">
        <f t="shared" si="36"/>
        <v>1172.0219999999999</v>
      </c>
      <c r="Z18" s="134">
        <f t="shared" si="36"/>
        <v>1403.6610000000001</v>
      </c>
      <c r="AA18" s="129">
        <f t="shared" si="36"/>
        <v>2575.683</v>
      </c>
      <c r="AB18" s="126">
        <f t="shared" si="36"/>
        <v>3749.9189999999999</v>
      </c>
      <c r="AC18" s="133">
        <f>AC19+AC20+AC21</f>
        <v>1054.7739999999999</v>
      </c>
      <c r="AD18" s="134">
        <f>AD19+AD20+AD21</f>
        <v>959.43499999999995</v>
      </c>
      <c r="AE18" s="129">
        <f>AE19+AE20+AE21</f>
        <v>2014.2089999999998</v>
      </c>
      <c r="AF18" s="386">
        <f>AF20+AF21</f>
        <v>3174.4479999999999</v>
      </c>
      <c r="AG18" s="397">
        <v>800.94899999999996</v>
      </c>
      <c r="AH18" s="398">
        <v>1203.385</v>
      </c>
      <c r="AI18" s="396">
        <f>AG18+AH18</f>
        <v>2004.3339999999998</v>
      </c>
      <c r="AJ18" s="126">
        <f>AJ19+AJ20+AJ21</f>
        <v>3174.4479999999999</v>
      </c>
      <c r="AK18" s="133"/>
      <c r="AL18" s="134"/>
      <c r="AM18" s="129">
        <f t="shared" ref="AM18:BS18" si="37">AM19+AM20+AM21</f>
        <v>0</v>
      </c>
      <c r="AN18" s="126">
        <f t="shared" si="37"/>
        <v>3749.9189999999999</v>
      </c>
      <c r="AO18" s="133">
        <f t="shared" si="37"/>
        <v>0</v>
      </c>
      <c r="AP18" s="134">
        <f t="shared" si="37"/>
        <v>0</v>
      </c>
      <c r="AQ18" s="129">
        <f t="shared" si="37"/>
        <v>0</v>
      </c>
      <c r="AR18" s="126">
        <f t="shared" si="37"/>
        <v>8061.9059999999999</v>
      </c>
      <c r="AS18" s="133">
        <f>AS19+AS20+AS21</f>
        <v>3969.9830000000002</v>
      </c>
      <c r="AT18" s="134">
        <f t="shared" si="37"/>
        <v>3161.4059999999999</v>
      </c>
      <c r="AU18" s="130">
        <f t="shared" si="37"/>
        <v>7131.3890000000001</v>
      </c>
      <c r="AV18" s="126">
        <f t="shared" si="37"/>
        <v>8061.9059999999999</v>
      </c>
      <c r="AW18" s="133">
        <f t="shared" si="37"/>
        <v>3595.6149999999998</v>
      </c>
      <c r="AX18" s="134">
        <f t="shared" si="37"/>
        <v>2885.7550000000001</v>
      </c>
      <c r="AY18" s="130">
        <f t="shared" si="37"/>
        <v>6481.37</v>
      </c>
      <c r="AZ18" s="386">
        <v>7578.6530000000002</v>
      </c>
      <c r="BA18" s="397">
        <v>3542.2150000000001</v>
      </c>
      <c r="BB18" s="398">
        <v>3142.2819999999997</v>
      </c>
      <c r="BC18" s="396">
        <f>BA18+BB18</f>
        <v>6684.4969999999994</v>
      </c>
      <c r="BD18" s="126">
        <f t="shared" si="37"/>
        <v>7578.6530000000002</v>
      </c>
      <c r="BE18" s="133">
        <f t="shared" si="37"/>
        <v>0</v>
      </c>
      <c r="BF18" s="134">
        <f t="shared" si="37"/>
        <v>0</v>
      </c>
      <c r="BG18" s="129">
        <f t="shared" si="37"/>
        <v>0</v>
      </c>
      <c r="BH18" s="126">
        <f t="shared" si="37"/>
        <v>8061.9059999999999</v>
      </c>
      <c r="BI18" s="133">
        <f t="shared" si="37"/>
        <v>0</v>
      </c>
      <c r="BJ18" s="134">
        <f t="shared" si="37"/>
        <v>0</v>
      </c>
      <c r="BK18" s="130">
        <f t="shared" si="37"/>
        <v>0</v>
      </c>
      <c r="BL18" s="126">
        <f t="shared" si="37"/>
        <v>9707.027</v>
      </c>
      <c r="BM18" s="133">
        <f t="shared" si="37"/>
        <v>4267.451</v>
      </c>
      <c r="BN18" s="134">
        <f t="shared" si="37"/>
        <v>3838.7860000000001</v>
      </c>
      <c r="BO18" s="129">
        <f t="shared" si="37"/>
        <v>8106.2370000000001</v>
      </c>
      <c r="BP18" s="126">
        <f t="shared" si="37"/>
        <v>9707.027</v>
      </c>
      <c r="BQ18" s="133">
        <f t="shared" si="37"/>
        <v>3841.9970000000003</v>
      </c>
      <c r="BR18" s="134">
        <f t="shared" si="37"/>
        <v>3676.7420000000002</v>
      </c>
      <c r="BS18" s="129">
        <f t="shared" si="37"/>
        <v>7518.7389999999996</v>
      </c>
      <c r="BT18" s="386">
        <f>BT19+BT20+BT21</f>
        <v>8588.8960000000006</v>
      </c>
      <c r="BU18" s="397">
        <f>3913.431</f>
        <v>3913.431</v>
      </c>
      <c r="BV18" s="398">
        <f>2952.559</f>
        <v>2952.5590000000002</v>
      </c>
      <c r="BW18" s="396">
        <f>BW19+BW20+BW21</f>
        <v>6865.99</v>
      </c>
      <c r="BX18" s="126">
        <f t="shared" ref="BX18:CX18" si="38">BX19+BX20+BX21</f>
        <v>8588.8960000000006</v>
      </c>
      <c r="BY18" s="133">
        <f t="shared" si="38"/>
        <v>0</v>
      </c>
      <c r="BZ18" s="134">
        <f t="shared" si="38"/>
        <v>0</v>
      </c>
      <c r="CA18" s="129">
        <f t="shared" si="38"/>
        <v>0</v>
      </c>
      <c r="CB18" s="126">
        <f t="shared" si="38"/>
        <v>9707.027</v>
      </c>
      <c r="CC18" s="133">
        <f t="shared" si="38"/>
        <v>0</v>
      </c>
      <c r="CD18" s="134">
        <f t="shared" si="38"/>
        <v>0</v>
      </c>
      <c r="CE18" s="129">
        <f t="shared" si="38"/>
        <v>0</v>
      </c>
      <c r="CF18" s="126">
        <f t="shared" si="38"/>
        <v>10273.637000000001</v>
      </c>
      <c r="CG18" s="133">
        <f t="shared" si="38"/>
        <v>3388.02</v>
      </c>
      <c r="CH18" s="134">
        <f t="shared" si="38"/>
        <v>2774.8250000000003</v>
      </c>
      <c r="CI18" s="129">
        <f t="shared" si="38"/>
        <v>6162.8449999999993</v>
      </c>
      <c r="CJ18" s="126">
        <f>[2]Омол!$K$22</f>
        <v>9114.8610000000008</v>
      </c>
      <c r="CK18" s="133">
        <f>CK19+CK20+CK21</f>
        <v>2879.1819999999998</v>
      </c>
      <c r="CL18" s="134">
        <f>CL19+CL20+CL21</f>
        <v>3024.68</v>
      </c>
      <c r="CM18" s="129">
        <f>CM19+CM20+CM21</f>
        <v>5903.8620000000001</v>
      </c>
      <c r="CN18" s="386">
        <f>CN19+CN20+CN21</f>
        <v>8005.3779999999997</v>
      </c>
      <c r="CO18" s="397">
        <v>2460.6180000000004</v>
      </c>
      <c r="CP18" s="398">
        <v>2931.2089999999998</v>
      </c>
      <c r="CQ18" s="396">
        <f t="shared" ref="CQ18" si="39">CQ19+CQ20+CQ21</f>
        <v>5391.8270000000002</v>
      </c>
      <c r="CR18" s="126">
        <f t="shared" si="38"/>
        <v>8005.3779999999997</v>
      </c>
      <c r="CS18" s="133">
        <f t="shared" si="38"/>
        <v>0</v>
      </c>
      <c r="CT18" s="134">
        <f t="shared" si="38"/>
        <v>0</v>
      </c>
      <c r="CU18" s="129">
        <f t="shared" si="38"/>
        <v>0</v>
      </c>
      <c r="CV18" s="126">
        <f t="shared" si="38"/>
        <v>0</v>
      </c>
      <c r="CW18" s="133">
        <f t="shared" si="38"/>
        <v>0</v>
      </c>
      <c r="CX18" s="134">
        <f t="shared" si="38"/>
        <v>0</v>
      </c>
      <c r="CY18" s="129">
        <f t="shared" ref="CY18:DG18" si="40">CY19+CY20+CY21</f>
        <v>0</v>
      </c>
      <c r="CZ18" s="126">
        <f t="shared" si="40"/>
        <v>1931.9569999999999</v>
      </c>
      <c r="DA18" s="133">
        <f t="shared" si="40"/>
        <v>880.67599999999993</v>
      </c>
      <c r="DB18" s="134">
        <f t="shared" si="40"/>
        <v>941.45699999999999</v>
      </c>
      <c r="DC18" s="130">
        <f t="shared" si="40"/>
        <v>1822.133</v>
      </c>
      <c r="DD18" s="126">
        <f t="shared" si="40"/>
        <v>1931.9569999999999</v>
      </c>
      <c r="DE18" s="133">
        <f t="shared" si="40"/>
        <v>907.83600000000001</v>
      </c>
      <c r="DF18" s="134">
        <f t="shared" si="40"/>
        <v>897.30499999999995</v>
      </c>
      <c r="DG18" s="129">
        <f t="shared" si="40"/>
        <v>1805.1410000000001</v>
      </c>
      <c r="DH18" s="386">
        <f>DH19+DH20+DH21</f>
        <v>1824.3140000000001</v>
      </c>
      <c r="DI18" s="397">
        <v>881.24900000000002</v>
      </c>
      <c r="DJ18" s="398">
        <v>901.84299999999996</v>
      </c>
      <c r="DK18" s="396">
        <f>DK19+DK20+DK21</f>
        <v>1783.0920000000001</v>
      </c>
      <c r="DL18" s="126">
        <f>DL19+DL20+DL21</f>
        <v>1824.3140000000001</v>
      </c>
      <c r="DM18" s="133"/>
      <c r="DN18" s="134"/>
      <c r="DO18" s="129">
        <f>DO19+DO20+DO21</f>
        <v>0</v>
      </c>
      <c r="DP18" s="126">
        <f>DP19+DP20+DP21</f>
        <v>1931.9569999999999</v>
      </c>
      <c r="DQ18" s="133">
        <f>DQ19+DQ20+DQ21</f>
        <v>0</v>
      </c>
      <c r="DR18" s="134">
        <f>DR19+DR20+DR21</f>
        <v>0</v>
      </c>
      <c r="DS18" s="130">
        <f>DS19+DS20+DS21</f>
        <v>0</v>
      </c>
      <c r="DT18" s="39"/>
    </row>
    <row r="19" spans="1:124" s="20" customFormat="1" ht="18" customHeight="1" x14ac:dyDescent="0.2">
      <c r="A19" s="23" t="s">
        <v>108</v>
      </c>
      <c r="B19" s="157" t="s">
        <v>109</v>
      </c>
      <c r="C19" s="148" t="s">
        <v>96</v>
      </c>
      <c r="D19" s="149">
        <v>444914.45900000003</v>
      </c>
      <c r="E19" s="150">
        <v>216396.3</v>
      </c>
      <c r="F19" s="151">
        <v>182714.93800000002</v>
      </c>
      <c r="G19" s="135">
        <f>E19+F19</f>
        <v>399111.23800000001</v>
      </c>
      <c r="H19" s="126">
        <f>D19</f>
        <v>444914.45900000003</v>
      </c>
      <c r="I19" s="150">
        <v>214496.60987096775</v>
      </c>
      <c r="J19" s="151">
        <v>185737.47199999995</v>
      </c>
      <c r="K19" s="135">
        <f>I19+J19</f>
        <v>400234.0818709677</v>
      </c>
      <c r="L19" s="386">
        <v>389249.88900000002</v>
      </c>
      <c r="M19" s="407">
        <v>205946.288</v>
      </c>
      <c r="N19" s="408">
        <v>189208.39199999999</v>
      </c>
      <c r="O19" s="399">
        <f>M19+N19</f>
        <v>395154.68</v>
      </c>
      <c r="P19" s="126">
        <f>L19</f>
        <v>389249.88900000002</v>
      </c>
      <c r="Q19" s="150"/>
      <c r="R19" s="151"/>
      <c r="S19" s="135">
        <f>Q19+R19</f>
        <v>0</v>
      </c>
      <c r="T19" s="126">
        <f>H19</f>
        <v>444914.45900000003</v>
      </c>
      <c r="U19" s="150"/>
      <c r="V19" s="151"/>
      <c r="W19" s="135"/>
      <c r="X19" s="149">
        <v>0</v>
      </c>
      <c r="Y19" s="150"/>
      <c r="Z19" s="151"/>
      <c r="AA19" s="135">
        <f>Y19+Z19</f>
        <v>0</v>
      </c>
      <c r="AB19" s="126"/>
      <c r="AC19" s="150"/>
      <c r="AD19" s="151"/>
      <c r="AE19" s="135">
        <f>AC19+AD19</f>
        <v>0</v>
      </c>
      <c r="AF19" s="386"/>
      <c r="AG19" s="407">
        <v>0</v>
      </c>
      <c r="AH19" s="408">
        <v>0</v>
      </c>
      <c r="AI19" s="399">
        <f>AG19+AH19</f>
        <v>0</v>
      </c>
      <c r="AJ19" s="126"/>
      <c r="AK19" s="150"/>
      <c r="AL19" s="151"/>
      <c r="AM19" s="135">
        <f>AK19+AL19</f>
        <v>0</v>
      </c>
      <c r="AN19" s="126"/>
      <c r="AO19" s="150"/>
      <c r="AP19" s="151"/>
      <c r="AQ19" s="135"/>
      <c r="AR19" s="126">
        <v>6709.6229999999996</v>
      </c>
      <c r="AS19" s="150">
        <v>3403.1060000000002</v>
      </c>
      <c r="AT19" s="151">
        <v>2518.1439999999998</v>
      </c>
      <c r="AU19" s="136">
        <f>AS19+AT19</f>
        <v>5921.25</v>
      </c>
      <c r="AV19" s="126">
        <f>AR19</f>
        <v>6709.6229999999996</v>
      </c>
      <c r="AW19" s="150">
        <v>3040.5079999999998</v>
      </c>
      <c r="AX19" s="151">
        <v>2267.4960000000001</v>
      </c>
      <c r="AY19" s="136">
        <f>AW19+AX19</f>
        <v>5308.0039999999999</v>
      </c>
      <c r="AZ19" s="386">
        <v>6709.6229999999996</v>
      </c>
      <c r="BA19" s="407">
        <v>2967.0600000000004</v>
      </c>
      <c r="BB19" s="408">
        <v>2522.3879999999999</v>
      </c>
      <c r="BC19" s="399">
        <f>BA19+BB19</f>
        <v>5489.4480000000003</v>
      </c>
      <c r="BD19" s="126">
        <f>AZ19</f>
        <v>6709.6229999999996</v>
      </c>
      <c r="BE19" s="150"/>
      <c r="BF19" s="151"/>
      <c r="BG19" s="135">
        <f>BE19+BF19</f>
        <v>0</v>
      </c>
      <c r="BH19" s="126">
        <f>AV19</f>
        <v>6709.6229999999996</v>
      </c>
      <c r="BI19" s="150"/>
      <c r="BJ19" s="151"/>
      <c r="BK19" s="136"/>
      <c r="BL19" s="126">
        <v>5280.7179999999998</v>
      </c>
      <c r="BM19" s="150">
        <v>2332.1289999999999</v>
      </c>
      <c r="BN19" s="151">
        <v>1734.038</v>
      </c>
      <c r="BO19" s="135">
        <f>BM19+BN19</f>
        <v>4066.1669999999999</v>
      </c>
      <c r="BP19" s="126">
        <f>BL19</f>
        <v>5280.7179999999998</v>
      </c>
      <c r="BQ19" s="133">
        <v>2104.4659999999999</v>
      </c>
      <c r="BR19" s="134">
        <f>3680.751-BQ19</f>
        <v>1576.2850000000003</v>
      </c>
      <c r="BS19" s="135">
        <f>BQ19+BR19</f>
        <v>3680.7510000000002</v>
      </c>
      <c r="BT19" s="386">
        <v>4308.2740000000003</v>
      </c>
      <c r="BU19" s="407">
        <v>1639.2750000000001</v>
      </c>
      <c r="BV19" s="408">
        <v>1235.8680000000002</v>
      </c>
      <c r="BW19" s="399">
        <f>BU19+BV19</f>
        <v>2875.143</v>
      </c>
      <c r="BX19" s="126">
        <f>BT19</f>
        <v>4308.2740000000003</v>
      </c>
      <c r="BY19" s="150"/>
      <c r="BZ19" s="151"/>
      <c r="CA19" s="135">
        <f>BY19+BZ19</f>
        <v>0</v>
      </c>
      <c r="CB19" s="126">
        <f>BP19</f>
        <v>5280.7179999999998</v>
      </c>
      <c r="CC19" s="150"/>
      <c r="CD19" s="151"/>
      <c r="CE19" s="135"/>
      <c r="CF19" s="126">
        <v>7655.4890000000005</v>
      </c>
      <c r="CG19" s="150">
        <v>2384.5630000000001</v>
      </c>
      <c r="CH19" s="151">
        <v>1716.768</v>
      </c>
      <c r="CI19" s="135">
        <f>CG19+CH19</f>
        <v>4101.3310000000001</v>
      </c>
      <c r="CJ19" s="126">
        <f>CJ18*CG58</f>
        <v>0</v>
      </c>
      <c r="CK19" s="150">
        <v>2069.9780000000001</v>
      </c>
      <c r="CL19" s="151">
        <v>1701.8560000000002</v>
      </c>
      <c r="CM19" s="135">
        <f>CK19+CL19</f>
        <v>3771.8340000000003</v>
      </c>
      <c r="CN19" s="386">
        <v>5854.6769999999997</v>
      </c>
      <c r="CO19" s="407">
        <v>1702.1289999999999</v>
      </c>
      <c r="CP19" s="408">
        <v>1608.7810000000004</v>
      </c>
      <c r="CQ19" s="399">
        <f>CO19+CP19</f>
        <v>3310.9100000000003</v>
      </c>
      <c r="CR19" s="126">
        <f>CN19</f>
        <v>5854.6769999999997</v>
      </c>
      <c r="CS19" s="150"/>
      <c r="CT19" s="151"/>
      <c r="CU19" s="135">
        <f>CS19+CT19</f>
        <v>0</v>
      </c>
      <c r="CV19" s="126">
        <f>CJ19</f>
        <v>0</v>
      </c>
      <c r="CW19" s="150"/>
      <c r="CX19" s="151"/>
      <c r="CY19" s="135"/>
      <c r="CZ19" s="126"/>
      <c r="DA19" s="150"/>
      <c r="DB19" s="151"/>
      <c r="DC19" s="136"/>
      <c r="DD19" s="126"/>
      <c r="DE19" s="150"/>
      <c r="DF19" s="151"/>
      <c r="DG19" s="135">
        <f>DE19+DF19</f>
        <v>0</v>
      </c>
      <c r="DH19" s="386">
        <v>0</v>
      </c>
      <c r="DI19" s="407">
        <v>0</v>
      </c>
      <c r="DJ19" s="408">
        <v>0</v>
      </c>
      <c r="DK19" s="399">
        <f>DI19+DJ19</f>
        <v>0</v>
      </c>
      <c r="DL19" s="126">
        <f>DH19</f>
        <v>0</v>
      </c>
      <c r="DM19" s="150"/>
      <c r="DN19" s="151"/>
      <c r="DO19" s="135">
        <f>DM19+DN19</f>
        <v>0</v>
      </c>
      <c r="DP19" s="126">
        <f>DD19</f>
        <v>0</v>
      </c>
      <c r="DQ19" s="150"/>
      <c r="DR19" s="151"/>
      <c r="DS19" s="136"/>
      <c r="DT19" s="39"/>
    </row>
    <row r="20" spans="1:124" s="20" customFormat="1" ht="15" x14ac:dyDescent="0.2">
      <c r="A20" s="23" t="s">
        <v>110</v>
      </c>
      <c r="B20" s="147" t="s">
        <v>111</v>
      </c>
      <c r="C20" s="132" t="s">
        <v>96</v>
      </c>
      <c r="D20" s="126">
        <v>40065.805999999997</v>
      </c>
      <c r="E20" s="133">
        <v>6107.7</v>
      </c>
      <c r="F20" s="134">
        <v>7761.1619999999994</v>
      </c>
      <c r="G20" s="129">
        <f>E20+F20</f>
        <v>13868.861999999999</v>
      </c>
      <c r="H20" s="126">
        <f>D20</f>
        <v>40065.805999999997</v>
      </c>
      <c r="I20" s="133">
        <f>219006-I19</f>
        <v>4509.3901290322538</v>
      </c>
      <c r="J20" s="134">
        <f>195165-J19</f>
        <v>9427.5280000000494</v>
      </c>
      <c r="K20" s="129">
        <f>I20+J20</f>
        <v>13936.918129032303</v>
      </c>
      <c r="L20" s="386">
        <v>35053.053999999996</v>
      </c>
      <c r="M20" s="397">
        <v>4710.7120000000004</v>
      </c>
      <c r="N20" s="398">
        <f>13062.32-M20</f>
        <v>8351.6080000000002</v>
      </c>
      <c r="O20" s="396">
        <f>M20+N20</f>
        <v>13062.32</v>
      </c>
      <c r="P20" s="126">
        <f>L20</f>
        <v>35053.053999999996</v>
      </c>
      <c r="Q20" s="133"/>
      <c r="R20" s="134"/>
      <c r="S20" s="129">
        <f>Q20+R20</f>
        <v>0</v>
      </c>
      <c r="T20" s="126">
        <f>H20</f>
        <v>40065.805999999997</v>
      </c>
      <c r="U20" s="133"/>
      <c r="V20" s="134"/>
      <c r="W20" s="129"/>
      <c r="X20" s="126">
        <v>2875.2930000000001</v>
      </c>
      <c r="Y20" s="133">
        <v>796</v>
      </c>
      <c r="Z20" s="134">
        <v>1101</v>
      </c>
      <c r="AA20" s="129">
        <f>Y20+Z20</f>
        <v>1897</v>
      </c>
      <c r="AB20" s="126">
        <f>X20</f>
        <v>2875.2930000000001</v>
      </c>
      <c r="AC20" s="133">
        <v>638</v>
      </c>
      <c r="AD20" s="134">
        <f>1182-AC20</f>
        <v>544</v>
      </c>
      <c r="AE20" s="129">
        <f>AC20+AD20</f>
        <v>1182</v>
      </c>
      <c r="AF20" s="386">
        <v>2434.0440722223602</v>
      </c>
      <c r="AG20" s="397">
        <v>567</v>
      </c>
      <c r="AH20" s="398">
        <v>933</v>
      </c>
      <c r="AI20" s="396">
        <f>AG20+AH20</f>
        <v>1500</v>
      </c>
      <c r="AJ20" s="126">
        <f>AF20</f>
        <v>2434.0440722223602</v>
      </c>
      <c r="AK20" s="133"/>
      <c r="AL20" s="134"/>
      <c r="AM20" s="129">
        <f>AK20+AL20</f>
        <v>0</v>
      </c>
      <c r="AN20" s="126">
        <f>AB20</f>
        <v>2875.2930000000001</v>
      </c>
      <c r="AO20" s="133"/>
      <c r="AP20" s="134"/>
      <c r="AQ20" s="129"/>
      <c r="AR20" s="126">
        <v>638.827</v>
      </c>
      <c r="AS20" s="133">
        <v>227.304</v>
      </c>
      <c r="AT20" s="134">
        <v>286.47199999999998</v>
      </c>
      <c r="AU20" s="130">
        <f>AS20+AT20</f>
        <v>513.77599999999995</v>
      </c>
      <c r="AV20" s="126">
        <f>AR20</f>
        <v>638.827</v>
      </c>
      <c r="AW20" s="133">
        <v>338.286</v>
      </c>
      <c r="AX20" s="134">
        <f>726.121-AW20</f>
        <v>387.83499999999998</v>
      </c>
      <c r="AY20" s="130">
        <f>AW20+AX20</f>
        <v>726.12099999999998</v>
      </c>
      <c r="AZ20" s="386">
        <v>638.827</v>
      </c>
      <c r="BA20" s="397">
        <v>336.42</v>
      </c>
      <c r="BB20" s="398">
        <v>387.83499999999998</v>
      </c>
      <c r="BC20" s="396">
        <f>BA20+BB20</f>
        <v>724.255</v>
      </c>
      <c r="BD20" s="126">
        <f>AZ20</f>
        <v>638.827</v>
      </c>
      <c r="BE20" s="133"/>
      <c r="BF20" s="134"/>
      <c r="BG20" s="129">
        <f>BE20+BF20</f>
        <v>0</v>
      </c>
      <c r="BH20" s="126">
        <f>AV20</f>
        <v>638.827</v>
      </c>
      <c r="BI20" s="133"/>
      <c r="BJ20" s="134"/>
      <c r="BK20" s="130"/>
      <c r="BL20" s="126">
        <v>3774.9670000000001</v>
      </c>
      <c r="BM20" s="133">
        <v>1695.2739999999999</v>
      </c>
      <c r="BN20" s="134">
        <v>1842.152</v>
      </c>
      <c r="BO20" s="129">
        <f>BM20+BN20</f>
        <v>3537.4259999999999</v>
      </c>
      <c r="BP20" s="126">
        <f>BL20</f>
        <v>3774.9670000000001</v>
      </c>
      <c r="BQ20" s="133">
        <v>1625.856</v>
      </c>
      <c r="BR20" s="134">
        <f>3537.622-BQ20</f>
        <v>1911.7659999999998</v>
      </c>
      <c r="BS20" s="129">
        <f>BQ20+BR20</f>
        <v>3537.6219999999998</v>
      </c>
      <c r="BT20" s="386">
        <v>3748.05</v>
      </c>
      <c r="BU20" s="397">
        <v>2151.7829999999999</v>
      </c>
      <c r="BV20" s="398">
        <v>1609.636</v>
      </c>
      <c r="BW20" s="396">
        <f>BU20+BV20</f>
        <v>3761.4189999999999</v>
      </c>
      <c r="BX20" s="126">
        <f>BT20</f>
        <v>3748.05</v>
      </c>
      <c r="BY20" s="133"/>
      <c r="BZ20" s="134"/>
      <c r="CA20" s="129">
        <f>BY20+BZ20</f>
        <v>0</v>
      </c>
      <c r="CB20" s="126">
        <f>BP20</f>
        <v>3774.9670000000001</v>
      </c>
      <c r="CC20" s="133"/>
      <c r="CD20" s="134"/>
      <c r="CE20" s="129"/>
      <c r="CF20" s="126">
        <v>1718</v>
      </c>
      <c r="CG20" s="133">
        <v>721.93700000000001</v>
      </c>
      <c r="CH20" s="134">
        <v>591.73900000000003</v>
      </c>
      <c r="CI20" s="129">
        <f>CG20+CH20</f>
        <v>1313.6759999999999</v>
      </c>
      <c r="CJ20" s="126">
        <f>CG59*CJ18</f>
        <v>0</v>
      </c>
      <c r="CK20" s="133">
        <v>710.55399999999997</v>
      </c>
      <c r="CL20" s="134">
        <f>1889.262-CK20</f>
        <v>1178.7080000000001</v>
      </c>
      <c r="CM20" s="129">
        <f>CK20+CL20</f>
        <v>1889.2620000000002</v>
      </c>
      <c r="CN20" s="386">
        <v>1630.78</v>
      </c>
      <c r="CO20" s="397">
        <v>701.12199999999996</v>
      </c>
      <c r="CP20" s="398">
        <v>1157.3320000000001</v>
      </c>
      <c r="CQ20" s="396">
        <f>CO20+CP20</f>
        <v>1858.4540000000002</v>
      </c>
      <c r="CR20" s="126">
        <f>CN20</f>
        <v>1630.78</v>
      </c>
      <c r="CS20" s="133"/>
      <c r="CT20" s="134"/>
      <c r="CU20" s="129">
        <f>CS20+CT20</f>
        <v>0</v>
      </c>
      <c r="CV20" s="126">
        <f>CJ20</f>
        <v>0</v>
      </c>
      <c r="CW20" s="133"/>
      <c r="CX20" s="134"/>
      <c r="CY20" s="129"/>
      <c r="CZ20" s="126">
        <v>1133.107</v>
      </c>
      <c r="DA20" s="133">
        <v>580.00599999999997</v>
      </c>
      <c r="DB20" s="134">
        <v>606.928</v>
      </c>
      <c r="DC20" s="130">
        <f>DA20+DB20</f>
        <v>1186.934</v>
      </c>
      <c r="DD20" s="126">
        <f>CZ20</f>
        <v>1133.107</v>
      </c>
      <c r="DE20" s="133">
        <v>560.34199999999998</v>
      </c>
      <c r="DF20" s="134">
        <f>1154.325-DE20</f>
        <v>593.98300000000006</v>
      </c>
      <c r="DG20" s="129">
        <f>DE20+DF20</f>
        <v>1154.325</v>
      </c>
      <c r="DH20" s="386">
        <v>1069.973588231001</v>
      </c>
      <c r="DI20" s="397">
        <v>557.899</v>
      </c>
      <c r="DJ20" s="398">
        <v>593.83799999999997</v>
      </c>
      <c r="DK20" s="396">
        <f>DI20+DJ20</f>
        <v>1151.7370000000001</v>
      </c>
      <c r="DL20" s="126">
        <f>DH20</f>
        <v>1069.973588231001</v>
      </c>
      <c r="DM20" s="133"/>
      <c r="DN20" s="134"/>
      <c r="DO20" s="129">
        <f>DM20+DN20</f>
        <v>0</v>
      </c>
      <c r="DP20" s="126">
        <f>DD20</f>
        <v>1133.107</v>
      </c>
      <c r="DQ20" s="133"/>
      <c r="DR20" s="134"/>
      <c r="DS20" s="130"/>
      <c r="DT20" s="39"/>
    </row>
    <row r="21" spans="1:124" s="20" customFormat="1" ht="15" x14ac:dyDescent="0.2">
      <c r="A21" s="23" t="s">
        <v>112</v>
      </c>
      <c r="B21" s="147" t="s">
        <v>113</v>
      </c>
      <c r="C21" s="132" t="s">
        <v>96</v>
      </c>
      <c r="D21" s="126">
        <v>242949.70500000002</v>
      </c>
      <c r="E21" s="133">
        <v>89793.925999999992</v>
      </c>
      <c r="F21" s="134">
        <v>68172.756999999998</v>
      </c>
      <c r="G21" s="135">
        <f>E21+F21</f>
        <v>157966.68299999999</v>
      </c>
      <c r="H21" s="126">
        <f>D21</f>
        <v>242949.70500000002</v>
      </c>
      <c r="I21" s="133">
        <f>300611.236-I19-I20</f>
        <v>81605.235999999975</v>
      </c>
      <c r="J21" s="134">
        <f>249837.055-J19-J20</f>
        <v>54672.054999999993</v>
      </c>
      <c r="K21" s="135">
        <f>I21+J21</f>
        <v>136277.29099999997</v>
      </c>
      <c r="L21" s="386">
        <v>239506.10800000001</v>
      </c>
      <c r="M21" s="411">
        <f>M18-M19-M20</f>
        <v>71693.701000000001</v>
      </c>
      <c r="N21" s="398">
        <f>N18-N19-N20</f>
        <v>82046.309000000008</v>
      </c>
      <c r="O21" s="399">
        <f>M21+N21</f>
        <v>153740.01</v>
      </c>
      <c r="P21" s="126">
        <f>L21</f>
        <v>239506.10800000001</v>
      </c>
      <c r="Q21" s="133"/>
      <c r="R21" s="134"/>
      <c r="S21" s="135">
        <f>Q21+R21</f>
        <v>0</v>
      </c>
      <c r="T21" s="126">
        <f>H21</f>
        <v>242949.70500000002</v>
      </c>
      <c r="U21" s="133"/>
      <c r="V21" s="134"/>
      <c r="W21" s="135"/>
      <c r="X21" s="126">
        <v>874.62599999999975</v>
      </c>
      <c r="Y21" s="133">
        <v>376.02199999999993</v>
      </c>
      <c r="Z21" s="134">
        <v>302.66100000000006</v>
      </c>
      <c r="AA21" s="135">
        <f>Y21+Z21</f>
        <v>678.68299999999999</v>
      </c>
      <c r="AB21" s="126">
        <f>X21</f>
        <v>874.62599999999975</v>
      </c>
      <c r="AC21" s="133">
        <f>1054.774-AC20</f>
        <v>416.77399999999989</v>
      </c>
      <c r="AD21" s="134">
        <f>959.435-AD20</f>
        <v>415.43499999999995</v>
      </c>
      <c r="AE21" s="135">
        <f>AC21+AD21</f>
        <v>832.20899999999983</v>
      </c>
      <c r="AF21" s="386">
        <v>740.40392777763975</v>
      </c>
      <c r="AG21" s="411">
        <f>AG18-AG19-AG20</f>
        <v>233.94899999999996</v>
      </c>
      <c r="AH21" s="398">
        <f>AH18-AH19-AH20</f>
        <v>270.38499999999999</v>
      </c>
      <c r="AI21" s="399">
        <f>AG21+AH21</f>
        <v>504.33399999999995</v>
      </c>
      <c r="AJ21" s="126">
        <f>AF21</f>
        <v>740.40392777763975</v>
      </c>
      <c r="AK21" s="133"/>
      <c r="AL21" s="134"/>
      <c r="AM21" s="135">
        <f>AK21+AL21</f>
        <v>0</v>
      </c>
      <c r="AN21" s="126">
        <f>AB21</f>
        <v>874.62599999999975</v>
      </c>
      <c r="AO21" s="133"/>
      <c r="AP21" s="134"/>
      <c r="AQ21" s="135"/>
      <c r="AR21" s="126">
        <v>713.4559999999999</v>
      </c>
      <c r="AS21" s="133">
        <v>339.57299999999998</v>
      </c>
      <c r="AT21" s="134">
        <v>356.79</v>
      </c>
      <c r="AU21" s="136">
        <f>AS21+AT21</f>
        <v>696.36300000000006</v>
      </c>
      <c r="AV21" s="126">
        <f>AR21</f>
        <v>713.4559999999999</v>
      </c>
      <c r="AW21" s="133">
        <f>3595.615-AW19-AW20</f>
        <v>216.82099999999997</v>
      </c>
      <c r="AX21" s="134">
        <f>2885.755-AX19-AX20</f>
        <v>230.42400000000004</v>
      </c>
      <c r="AY21" s="136">
        <f>AW21+AX21</f>
        <v>447.245</v>
      </c>
      <c r="AZ21" s="386">
        <v>230.203</v>
      </c>
      <c r="BA21" s="411">
        <f>BA18-BA19-BA20</f>
        <v>238.73499999999973</v>
      </c>
      <c r="BB21" s="398">
        <f>BB18-BB19-BB20</f>
        <v>232.0589999999998</v>
      </c>
      <c r="BC21" s="399">
        <f>BA21+BB21</f>
        <v>470.79399999999953</v>
      </c>
      <c r="BD21" s="126">
        <f>AZ21</f>
        <v>230.203</v>
      </c>
      <c r="BE21" s="133"/>
      <c r="BF21" s="134"/>
      <c r="BG21" s="135">
        <f>BE21+BF21</f>
        <v>0</v>
      </c>
      <c r="BH21" s="126">
        <f>AV21</f>
        <v>713.4559999999999</v>
      </c>
      <c r="BI21" s="133"/>
      <c r="BJ21" s="134"/>
      <c r="BK21" s="136"/>
      <c r="BL21" s="126">
        <v>651.34199999999998</v>
      </c>
      <c r="BM21" s="133">
        <v>240.04800000000023</v>
      </c>
      <c r="BN21" s="134">
        <v>262.596</v>
      </c>
      <c r="BO21" s="135">
        <f>BM21+BN21</f>
        <v>502.64400000000023</v>
      </c>
      <c r="BP21" s="126">
        <f>BL21</f>
        <v>651.34199999999998</v>
      </c>
      <c r="BQ21" s="133">
        <f>3841.997-BQ19-BQ20</f>
        <v>111.67499999999995</v>
      </c>
      <c r="BR21" s="134">
        <f>(7518.739-3841.997)-BR19-BR20</f>
        <v>188.69099999999958</v>
      </c>
      <c r="BS21" s="135">
        <f>BQ21+BR21</f>
        <v>300.36599999999953</v>
      </c>
      <c r="BT21" s="386">
        <v>532.572</v>
      </c>
      <c r="BU21" s="411">
        <f>BU18-BU19-BU20</f>
        <v>122.37300000000005</v>
      </c>
      <c r="BV21" s="398">
        <f>BV18-BV19-BV20</f>
        <v>107.05500000000006</v>
      </c>
      <c r="BW21" s="399">
        <f>BU21+BV21</f>
        <v>229.42800000000011</v>
      </c>
      <c r="BX21" s="126">
        <f>BT21</f>
        <v>532.572</v>
      </c>
      <c r="BY21" s="133"/>
      <c r="BZ21" s="134"/>
      <c r="CA21" s="135">
        <f>BY21+BZ21</f>
        <v>0</v>
      </c>
      <c r="CB21" s="126">
        <f>BP21</f>
        <v>651.34199999999998</v>
      </c>
      <c r="CC21" s="133"/>
      <c r="CD21" s="134"/>
      <c r="CE21" s="135"/>
      <c r="CF21" s="126">
        <v>900.14799999999991</v>
      </c>
      <c r="CG21" s="133">
        <v>281.52</v>
      </c>
      <c r="CH21" s="134">
        <v>466.31800000000021</v>
      </c>
      <c r="CI21" s="135">
        <f>CG21+CH21</f>
        <v>747.83800000000019</v>
      </c>
      <c r="CJ21" s="126">
        <f>CG60*CJ18</f>
        <v>0</v>
      </c>
      <c r="CK21" s="133">
        <f>2879.182-CK19-CK20</f>
        <v>98.64999999999975</v>
      </c>
      <c r="CL21" s="134">
        <f>3024.68-CL19-CL20</f>
        <v>144.11599999999953</v>
      </c>
      <c r="CM21" s="135">
        <f>CK21+CL21</f>
        <v>242.76599999999928</v>
      </c>
      <c r="CN21" s="386">
        <v>519.92100000000005</v>
      </c>
      <c r="CO21" s="411">
        <f>CO18-CO19-CO20</f>
        <v>57.36700000000053</v>
      </c>
      <c r="CP21" s="398">
        <f>CP18-CP19-CP20</f>
        <v>165.09599999999932</v>
      </c>
      <c r="CQ21" s="399">
        <f>CO21+CP21</f>
        <v>222.46299999999985</v>
      </c>
      <c r="CR21" s="126">
        <f>CN21</f>
        <v>519.92100000000005</v>
      </c>
      <c r="CS21" s="133"/>
      <c r="CT21" s="134"/>
      <c r="CU21" s="135">
        <f>CS21+CT21</f>
        <v>0</v>
      </c>
      <c r="CV21" s="126">
        <f>CJ21</f>
        <v>0</v>
      </c>
      <c r="CW21" s="133"/>
      <c r="CX21" s="134"/>
      <c r="CY21" s="135"/>
      <c r="CZ21" s="126">
        <v>798.85</v>
      </c>
      <c r="DA21" s="133">
        <v>300.67</v>
      </c>
      <c r="DB21" s="134">
        <v>334.529</v>
      </c>
      <c r="DC21" s="136">
        <f>DA21+DB21</f>
        <v>635.19900000000007</v>
      </c>
      <c r="DD21" s="126">
        <f>CZ21</f>
        <v>798.85</v>
      </c>
      <c r="DE21" s="133">
        <f>907.836-DE20</f>
        <v>347.49400000000003</v>
      </c>
      <c r="DF21" s="134">
        <f>897.305-DF20</f>
        <v>303.32199999999989</v>
      </c>
      <c r="DG21" s="135">
        <f>DE21+DF21</f>
        <v>650.81599999999992</v>
      </c>
      <c r="DH21" s="386">
        <v>754.34041176899905</v>
      </c>
      <c r="DI21" s="411">
        <f>DI18-DI19-DI20</f>
        <v>323.35000000000002</v>
      </c>
      <c r="DJ21" s="398">
        <f>DJ18-DJ19-DJ20</f>
        <v>308.005</v>
      </c>
      <c r="DK21" s="399">
        <f>DI21+DJ21</f>
        <v>631.35500000000002</v>
      </c>
      <c r="DL21" s="126">
        <f>DH21</f>
        <v>754.34041176899905</v>
      </c>
      <c r="DM21" s="133"/>
      <c r="DN21" s="134"/>
      <c r="DO21" s="135">
        <f>DM21+DN21</f>
        <v>0</v>
      </c>
      <c r="DP21" s="126">
        <f>DD21</f>
        <v>798.85</v>
      </c>
      <c r="DQ21" s="133"/>
      <c r="DR21" s="134"/>
      <c r="DS21" s="136"/>
      <c r="DT21" s="39"/>
    </row>
    <row r="22" spans="1:124" s="28" customFormat="1" ht="14.25" x14ac:dyDescent="0.2">
      <c r="A22" s="27" t="s">
        <v>114</v>
      </c>
      <c r="B22" s="158" t="s">
        <v>115</v>
      </c>
      <c r="C22" s="159" t="s">
        <v>96</v>
      </c>
      <c r="D22" s="138">
        <f t="shared" ref="D22:AD22" si="41">D17-D18</f>
        <v>336217.13100000005</v>
      </c>
      <c r="E22" s="139">
        <f t="shared" si="41"/>
        <v>175720.52400000003</v>
      </c>
      <c r="F22" s="140">
        <f t="shared" si="41"/>
        <v>166559.32099999994</v>
      </c>
      <c r="G22" s="145">
        <f t="shared" si="41"/>
        <v>342279.84499999997</v>
      </c>
      <c r="H22" s="138">
        <f t="shared" si="41"/>
        <v>336217.13100000005</v>
      </c>
      <c r="I22" s="139">
        <f>I17-I18</f>
        <v>168923.73800000001</v>
      </c>
      <c r="J22" s="140">
        <f t="shared" si="41"/>
        <v>167033.98299999995</v>
      </c>
      <c r="K22" s="145">
        <f t="shared" ref="K22:S22" si="42">K17-K18</f>
        <v>335957.7209999999</v>
      </c>
      <c r="L22" s="387">
        <v>351831.30900000001</v>
      </c>
      <c r="M22" s="403">
        <f t="shared" ref="M22:O22" si="43">M17-M18</f>
        <v>176549.11499999999</v>
      </c>
      <c r="N22" s="404">
        <f t="shared" si="43"/>
        <v>176113.55799999996</v>
      </c>
      <c r="O22" s="406">
        <f t="shared" si="43"/>
        <v>352662.67300000007</v>
      </c>
      <c r="P22" s="138">
        <f t="shared" si="42"/>
        <v>351831.30900000001</v>
      </c>
      <c r="Q22" s="139">
        <f t="shared" si="42"/>
        <v>0</v>
      </c>
      <c r="R22" s="140">
        <f t="shared" si="42"/>
        <v>0</v>
      </c>
      <c r="S22" s="145">
        <f t="shared" si="42"/>
        <v>0</v>
      </c>
      <c r="T22" s="138">
        <f t="shared" si="41"/>
        <v>336217.13100000005</v>
      </c>
      <c r="U22" s="139">
        <f>U17-U18</f>
        <v>0</v>
      </c>
      <c r="V22" s="140">
        <f>V17-V18</f>
        <v>0</v>
      </c>
      <c r="W22" s="145">
        <f>W17-W18</f>
        <v>0</v>
      </c>
      <c r="X22" s="138">
        <f t="shared" si="41"/>
        <v>34788.183999999994</v>
      </c>
      <c r="Y22" s="139">
        <f t="shared" si="41"/>
        <v>16045.791999999998</v>
      </c>
      <c r="Z22" s="140">
        <f t="shared" si="41"/>
        <v>15042.438000000002</v>
      </c>
      <c r="AA22" s="145">
        <f t="shared" si="41"/>
        <v>31088.23</v>
      </c>
      <c r="AB22" s="138">
        <f t="shared" si="41"/>
        <v>34788.183999999994</v>
      </c>
      <c r="AC22" s="145">
        <f t="shared" si="41"/>
        <v>13422.249</v>
      </c>
      <c r="AD22" s="140">
        <f t="shared" si="41"/>
        <v>12597.005000000001</v>
      </c>
      <c r="AE22" s="145">
        <f t="shared" ref="AE22:AM22" si="44">AE17-AE18</f>
        <v>26019.254000000001</v>
      </c>
      <c r="AF22" s="387">
        <f>AF17-AF18</f>
        <v>33274.895000000004</v>
      </c>
      <c r="AG22" s="406">
        <f t="shared" ref="AG22:AI22" si="45">AG17-AG18</f>
        <v>12842.153</v>
      </c>
      <c r="AH22" s="404">
        <f t="shared" si="45"/>
        <v>12266.25</v>
      </c>
      <c r="AI22" s="406">
        <f t="shared" si="45"/>
        <v>25108.403000000002</v>
      </c>
      <c r="AJ22" s="138">
        <f t="shared" si="44"/>
        <v>33274.895000000004</v>
      </c>
      <c r="AK22" s="145">
        <f t="shared" si="44"/>
        <v>0</v>
      </c>
      <c r="AL22" s="140">
        <f t="shared" si="44"/>
        <v>0</v>
      </c>
      <c r="AM22" s="145">
        <f t="shared" si="44"/>
        <v>0</v>
      </c>
      <c r="AN22" s="138">
        <f t="shared" ref="AN22:AX22" si="46">AN17-AN18</f>
        <v>34788.183999999994</v>
      </c>
      <c r="AO22" s="139">
        <f>AO17-AO18</f>
        <v>0</v>
      </c>
      <c r="AP22" s="140">
        <f>AP17-AP18</f>
        <v>0</v>
      </c>
      <c r="AQ22" s="145">
        <f>AQ17-AQ18</f>
        <v>0</v>
      </c>
      <c r="AR22" s="138">
        <f t="shared" si="46"/>
        <v>11455.964000000004</v>
      </c>
      <c r="AS22" s="139">
        <f t="shared" si="46"/>
        <v>5579.8130000000001</v>
      </c>
      <c r="AT22" s="140">
        <f t="shared" si="46"/>
        <v>5374.2070000000012</v>
      </c>
      <c r="AU22" s="146">
        <f t="shared" si="46"/>
        <v>10954.02</v>
      </c>
      <c r="AV22" s="138">
        <f t="shared" si="46"/>
        <v>11455.964000000004</v>
      </c>
      <c r="AW22" s="145">
        <f t="shared" si="46"/>
        <v>5063.2290000000012</v>
      </c>
      <c r="AX22" s="140">
        <f t="shared" si="46"/>
        <v>4912.5879999999997</v>
      </c>
      <c r="AY22" s="146">
        <f t="shared" ref="AY22:BG22" si="47">AY17-AY18</f>
        <v>9975.8169999999991</v>
      </c>
      <c r="AZ22" s="387">
        <f t="shared" si="47"/>
        <v>11212.646999999999</v>
      </c>
      <c r="BA22" s="406">
        <f t="shared" si="47"/>
        <v>5003.0419999999995</v>
      </c>
      <c r="BB22" s="404">
        <f t="shared" si="47"/>
        <v>5073.0429999999997</v>
      </c>
      <c r="BC22" s="406">
        <f t="shared" si="47"/>
        <v>10076.084999999999</v>
      </c>
      <c r="BD22" s="138">
        <f t="shared" si="47"/>
        <v>11212.646999999999</v>
      </c>
      <c r="BE22" s="145">
        <f t="shared" si="47"/>
        <v>0</v>
      </c>
      <c r="BF22" s="140">
        <f t="shared" si="47"/>
        <v>0</v>
      </c>
      <c r="BG22" s="145">
        <f t="shared" si="47"/>
        <v>0</v>
      </c>
      <c r="BH22" s="138">
        <f t="shared" ref="BH22:BR22" si="48">BH17-BH18</f>
        <v>11455.964000000004</v>
      </c>
      <c r="BI22" s="139">
        <f>BI17-BI18</f>
        <v>0</v>
      </c>
      <c r="BJ22" s="140">
        <f>BJ17-BJ18</f>
        <v>0</v>
      </c>
      <c r="BK22" s="146">
        <f>BK17-BK18</f>
        <v>0</v>
      </c>
      <c r="BL22" s="138">
        <f t="shared" si="48"/>
        <v>22093.891000000003</v>
      </c>
      <c r="BM22" s="139">
        <f t="shared" si="48"/>
        <v>10628.811000000002</v>
      </c>
      <c r="BN22" s="140">
        <f t="shared" si="48"/>
        <v>9399.375</v>
      </c>
      <c r="BO22" s="145">
        <f t="shared" si="48"/>
        <v>20028.185999999998</v>
      </c>
      <c r="BP22" s="138">
        <f t="shared" si="48"/>
        <v>22093.891000000003</v>
      </c>
      <c r="BQ22" s="145">
        <f t="shared" si="48"/>
        <v>9369.9260000000031</v>
      </c>
      <c r="BR22" s="140">
        <f t="shared" si="48"/>
        <v>9477.7020000000011</v>
      </c>
      <c r="BS22" s="145">
        <f t="shared" ref="BS22:CA22" si="49">BS17-BS18</f>
        <v>18847.628000000004</v>
      </c>
      <c r="BT22" s="387">
        <f t="shared" si="49"/>
        <v>21446.711999999992</v>
      </c>
      <c r="BU22" s="406">
        <f t="shared" si="49"/>
        <v>9223.4329999999991</v>
      </c>
      <c r="BV22" s="404">
        <f t="shared" si="49"/>
        <v>9136.6069999999963</v>
      </c>
      <c r="BW22" s="406">
        <f t="shared" si="49"/>
        <v>18360.039999999994</v>
      </c>
      <c r="BX22" s="138">
        <f t="shared" si="49"/>
        <v>21446.711999999992</v>
      </c>
      <c r="BY22" s="145">
        <f t="shared" si="49"/>
        <v>0</v>
      </c>
      <c r="BZ22" s="140">
        <f t="shared" si="49"/>
        <v>0</v>
      </c>
      <c r="CA22" s="145">
        <f t="shared" si="49"/>
        <v>0</v>
      </c>
      <c r="CB22" s="138">
        <f t="shared" ref="CB22:CL22" si="50">CB17-CB18</f>
        <v>22093.891000000003</v>
      </c>
      <c r="CC22" s="139">
        <f>CC17-CC18</f>
        <v>0</v>
      </c>
      <c r="CD22" s="140">
        <f>CD17-CD18</f>
        <v>0</v>
      </c>
      <c r="CE22" s="145">
        <f>CE17-CE18</f>
        <v>0</v>
      </c>
      <c r="CF22" s="138">
        <f t="shared" si="50"/>
        <v>16016.152000000004</v>
      </c>
      <c r="CG22" s="139">
        <f t="shared" si="50"/>
        <v>6728.2900000000009</v>
      </c>
      <c r="CH22" s="140">
        <f t="shared" si="50"/>
        <v>6828.878999999999</v>
      </c>
      <c r="CI22" s="145">
        <f t="shared" si="50"/>
        <v>13557.169</v>
      </c>
      <c r="CJ22" s="138">
        <f>CJ17-CJ18</f>
        <v>15092.192999999996</v>
      </c>
      <c r="CK22" s="145">
        <f t="shared" si="50"/>
        <v>6662.9219999999996</v>
      </c>
      <c r="CL22" s="140">
        <f t="shared" si="50"/>
        <v>7052.1580000000031</v>
      </c>
      <c r="CM22" s="145">
        <f t="shared" ref="CM22:CU22" si="51">CM17-CM18</f>
        <v>13715.080000000002</v>
      </c>
      <c r="CN22" s="387">
        <f t="shared" si="51"/>
        <v>14384.48</v>
      </c>
      <c r="CO22" s="406">
        <f t="shared" si="51"/>
        <v>6765.6409999999996</v>
      </c>
      <c r="CP22" s="404">
        <f t="shared" si="51"/>
        <v>6798.89</v>
      </c>
      <c r="CQ22" s="406">
        <f t="shared" si="51"/>
        <v>13564.530999999999</v>
      </c>
      <c r="CR22" s="138">
        <f t="shared" si="51"/>
        <v>14384.48</v>
      </c>
      <c r="CS22" s="145">
        <f t="shared" si="51"/>
        <v>0</v>
      </c>
      <c r="CT22" s="140">
        <f t="shared" si="51"/>
        <v>0</v>
      </c>
      <c r="CU22" s="145">
        <f t="shared" si="51"/>
        <v>0</v>
      </c>
      <c r="CV22" s="138">
        <f t="shared" ref="CV22:DF22" si="52">CV17-CV18</f>
        <v>24207.053999999996</v>
      </c>
      <c r="CW22" s="139">
        <f>CW17-CW18</f>
        <v>0</v>
      </c>
      <c r="CX22" s="140">
        <f>CX17-CX18</f>
        <v>0</v>
      </c>
      <c r="CY22" s="145">
        <f>CY17-CY18</f>
        <v>0</v>
      </c>
      <c r="CZ22" s="138">
        <f t="shared" si="52"/>
        <v>24883.516000000003</v>
      </c>
      <c r="DA22" s="139">
        <f t="shared" si="52"/>
        <v>11819.007</v>
      </c>
      <c r="DB22" s="140">
        <f t="shared" si="52"/>
        <v>11732.043999999998</v>
      </c>
      <c r="DC22" s="146">
        <f t="shared" si="52"/>
        <v>23551.050999999996</v>
      </c>
      <c r="DD22" s="138">
        <f t="shared" si="52"/>
        <v>24883.516000000003</v>
      </c>
      <c r="DE22" s="145">
        <f>DE17-DE18</f>
        <v>11418.12</v>
      </c>
      <c r="DF22" s="140">
        <f t="shared" si="52"/>
        <v>10862.278999999999</v>
      </c>
      <c r="DG22" s="145">
        <f t="shared" ref="DG22:DS22" si="53">DG17-DG18</f>
        <v>22280.399000000001</v>
      </c>
      <c r="DH22" s="387">
        <f t="shared" si="53"/>
        <v>24496.774000000001</v>
      </c>
      <c r="DI22" s="406">
        <f t="shared" si="53"/>
        <v>11036.597000000002</v>
      </c>
      <c r="DJ22" s="404">
        <f t="shared" si="53"/>
        <v>11221.319999999998</v>
      </c>
      <c r="DK22" s="406">
        <f t="shared" si="53"/>
        <v>22257.917000000001</v>
      </c>
      <c r="DL22" s="160">
        <f t="shared" si="53"/>
        <v>24496.774000000001</v>
      </c>
      <c r="DM22" s="145">
        <f t="shared" si="53"/>
        <v>0</v>
      </c>
      <c r="DN22" s="140">
        <f t="shared" si="53"/>
        <v>0</v>
      </c>
      <c r="DO22" s="145">
        <f t="shared" si="53"/>
        <v>0</v>
      </c>
      <c r="DP22" s="160">
        <f t="shared" si="53"/>
        <v>24883.516000000003</v>
      </c>
      <c r="DQ22" s="161">
        <f t="shared" si="53"/>
        <v>0</v>
      </c>
      <c r="DR22" s="162">
        <f t="shared" si="53"/>
        <v>0</v>
      </c>
      <c r="DS22" s="163">
        <f t="shared" si="53"/>
        <v>0</v>
      </c>
      <c r="DT22" s="41"/>
    </row>
    <row r="23" spans="1:124" s="84" customFormat="1" ht="15" x14ac:dyDescent="0.2">
      <c r="A23" s="82"/>
      <c r="B23" s="164" t="s">
        <v>116</v>
      </c>
      <c r="C23" s="165"/>
      <c r="D23" s="126">
        <f t="shared" ref="D23:AE23" si="54">D24+D31+D34</f>
        <v>336217.13099999999</v>
      </c>
      <c r="E23" s="133">
        <f t="shared" si="54"/>
        <v>175720.524</v>
      </c>
      <c r="F23" s="134">
        <f t="shared" si="54"/>
        <v>166559.32100000003</v>
      </c>
      <c r="G23" s="135">
        <f t="shared" si="54"/>
        <v>342279.84499999997</v>
      </c>
      <c r="H23" s="126">
        <f t="shared" si="54"/>
        <v>336217.13099999999</v>
      </c>
      <c r="I23" s="133">
        <f>I24+I31+I34</f>
        <v>168923.73799999998</v>
      </c>
      <c r="J23" s="134">
        <f t="shared" si="54"/>
        <v>167033.98300000001</v>
      </c>
      <c r="K23" s="135">
        <f t="shared" si="54"/>
        <v>335957.72100000002</v>
      </c>
      <c r="L23" s="386">
        <v>351831.30899999995</v>
      </c>
      <c r="M23" s="397">
        <f>M24+M31+M34</f>
        <v>176549.11499999999</v>
      </c>
      <c r="N23" s="398">
        <f>N24+N31+N34</f>
        <v>176113.55800000002</v>
      </c>
      <c r="O23" s="399">
        <f t="shared" ref="O23" si="55">O24+O31+O34</f>
        <v>352662.67300000007</v>
      </c>
      <c r="P23" s="126">
        <f t="shared" si="54"/>
        <v>283228.99199999997</v>
      </c>
      <c r="Q23" s="133">
        <f t="shared" si="54"/>
        <v>0</v>
      </c>
      <c r="R23" s="134">
        <f t="shared" si="54"/>
        <v>0</v>
      </c>
      <c r="S23" s="135">
        <f t="shared" si="54"/>
        <v>0</v>
      </c>
      <c r="T23" s="126">
        <f t="shared" si="54"/>
        <v>264234.93700000003</v>
      </c>
      <c r="U23" s="133">
        <f t="shared" si="54"/>
        <v>0</v>
      </c>
      <c r="V23" s="134">
        <f t="shared" si="54"/>
        <v>0</v>
      </c>
      <c r="W23" s="135">
        <f t="shared" si="54"/>
        <v>0</v>
      </c>
      <c r="X23" s="126">
        <f t="shared" si="54"/>
        <v>34788.184000000001</v>
      </c>
      <c r="Y23" s="133">
        <f t="shared" si="54"/>
        <v>16045.791999999999</v>
      </c>
      <c r="Z23" s="134">
        <f t="shared" si="54"/>
        <v>15042.438</v>
      </c>
      <c r="AA23" s="135">
        <f t="shared" si="54"/>
        <v>31088.23</v>
      </c>
      <c r="AB23" s="126">
        <f t="shared" si="54"/>
        <v>3610.3330000000001</v>
      </c>
      <c r="AC23" s="133">
        <f t="shared" si="54"/>
        <v>13422.249</v>
      </c>
      <c r="AD23" s="134">
        <f t="shared" si="54"/>
        <v>12597.004999999999</v>
      </c>
      <c r="AE23" s="135">
        <f t="shared" si="54"/>
        <v>26019.254000000001</v>
      </c>
      <c r="AF23" s="386">
        <f>AF24+AF31+AF34</f>
        <v>33274.894999999997</v>
      </c>
      <c r="AG23" s="397">
        <f t="shared" ref="AG23:AI23" si="56">AG24+AG31+AG34</f>
        <v>12842.153</v>
      </c>
      <c r="AH23" s="398">
        <f t="shared" si="56"/>
        <v>12266.25</v>
      </c>
      <c r="AI23" s="399">
        <f t="shared" si="56"/>
        <v>25108.402999999998</v>
      </c>
      <c r="AJ23" s="126">
        <f t="shared" ref="AJ23:BO23" si="57">AJ24+AJ31+AJ34</f>
        <v>3610.3330000000001</v>
      </c>
      <c r="AK23" s="133">
        <f t="shared" si="57"/>
        <v>0</v>
      </c>
      <c r="AL23" s="134">
        <f t="shared" si="57"/>
        <v>0</v>
      </c>
      <c r="AM23" s="135">
        <f t="shared" si="57"/>
        <v>0</v>
      </c>
      <c r="AN23" s="126">
        <f t="shared" si="57"/>
        <v>3610.3330000000001</v>
      </c>
      <c r="AO23" s="133">
        <f t="shared" si="57"/>
        <v>0</v>
      </c>
      <c r="AP23" s="134">
        <f t="shared" si="57"/>
        <v>0</v>
      </c>
      <c r="AQ23" s="135">
        <f t="shared" si="57"/>
        <v>0</v>
      </c>
      <c r="AR23" s="126">
        <f t="shared" si="57"/>
        <v>11455.964</v>
      </c>
      <c r="AS23" s="133">
        <f t="shared" si="57"/>
        <v>5579.8130000000001</v>
      </c>
      <c r="AT23" s="134">
        <f t="shared" si="57"/>
        <v>5374.2070000000003</v>
      </c>
      <c r="AU23" s="136">
        <f t="shared" si="57"/>
        <v>10954.02</v>
      </c>
      <c r="AV23" s="126">
        <f t="shared" si="57"/>
        <v>11455.964</v>
      </c>
      <c r="AW23" s="133">
        <f t="shared" si="57"/>
        <v>5063.2290000000003</v>
      </c>
      <c r="AX23" s="134">
        <f t="shared" si="57"/>
        <v>4912.5880000000006</v>
      </c>
      <c r="AY23" s="136">
        <f t="shared" si="57"/>
        <v>9975.8170000000009</v>
      </c>
      <c r="AZ23" s="386">
        <f t="shared" si="57"/>
        <v>11212.647000000001</v>
      </c>
      <c r="BA23" s="397">
        <f t="shared" si="57"/>
        <v>5003.0420000000004</v>
      </c>
      <c r="BB23" s="398">
        <f t="shared" si="57"/>
        <v>5073.0430000000006</v>
      </c>
      <c r="BC23" s="399">
        <f t="shared" si="57"/>
        <v>10076.085000000003</v>
      </c>
      <c r="BD23" s="126">
        <f t="shared" si="57"/>
        <v>11212.647000000001</v>
      </c>
      <c r="BE23" s="133">
        <f t="shared" si="57"/>
        <v>0</v>
      </c>
      <c r="BF23" s="134">
        <f t="shared" si="57"/>
        <v>0</v>
      </c>
      <c r="BG23" s="135">
        <f t="shared" si="57"/>
        <v>0</v>
      </c>
      <c r="BH23" s="126">
        <f t="shared" si="57"/>
        <v>11455.964</v>
      </c>
      <c r="BI23" s="133">
        <f t="shared" si="57"/>
        <v>0</v>
      </c>
      <c r="BJ23" s="134">
        <f t="shared" si="57"/>
        <v>0</v>
      </c>
      <c r="BK23" s="136">
        <f t="shared" si="57"/>
        <v>0</v>
      </c>
      <c r="BL23" s="126">
        <f t="shared" si="57"/>
        <v>22093.891000000003</v>
      </c>
      <c r="BM23" s="133">
        <f>BM24+BM31+BM34</f>
        <v>10628.811</v>
      </c>
      <c r="BN23" s="134">
        <f t="shared" si="57"/>
        <v>9399.3750000000018</v>
      </c>
      <c r="BO23" s="135">
        <f t="shared" si="57"/>
        <v>20028.186000000002</v>
      </c>
      <c r="BP23" s="126">
        <f t="shared" ref="BP23:CU23" si="58">BP24+BP31+BP34</f>
        <v>22093.891000000003</v>
      </c>
      <c r="BQ23" s="133">
        <f t="shared" si="58"/>
        <v>9369.9259999999995</v>
      </c>
      <c r="BR23" s="134">
        <f t="shared" si="58"/>
        <v>9477.7020000000011</v>
      </c>
      <c r="BS23" s="135">
        <f t="shared" si="58"/>
        <v>18847.628000000001</v>
      </c>
      <c r="BT23" s="386">
        <f t="shared" si="58"/>
        <v>21446.712000000003</v>
      </c>
      <c r="BU23" s="397">
        <f t="shared" si="58"/>
        <v>9223.4330000000009</v>
      </c>
      <c r="BV23" s="398">
        <f t="shared" si="58"/>
        <v>9136.607</v>
      </c>
      <c r="BW23" s="399">
        <f t="shared" si="58"/>
        <v>18360.04</v>
      </c>
      <c r="BX23" s="126">
        <f t="shared" si="58"/>
        <v>18197.834999999999</v>
      </c>
      <c r="BY23" s="133">
        <f t="shared" si="58"/>
        <v>0</v>
      </c>
      <c r="BZ23" s="134">
        <f t="shared" si="58"/>
        <v>0</v>
      </c>
      <c r="CA23" s="135">
        <f t="shared" si="58"/>
        <v>0</v>
      </c>
      <c r="CB23" s="126">
        <f t="shared" si="58"/>
        <v>17915.247000000003</v>
      </c>
      <c r="CC23" s="133">
        <f t="shared" si="58"/>
        <v>0</v>
      </c>
      <c r="CD23" s="134">
        <f t="shared" si="58"/>
        <v>0</v>
      </c>
      <c r="CE23" s="135">
        <f t="shared" si="58"/>
        <v>0</v>
      </c>
      <c r="CF23" s="126">
        <f t="shared" si="58"/>
        <v>16016.152000000002</v>
      </c>
      <c r="CG23" s="133">
        <f t="shared" si="58"/>
        <v>6728.29</v>
      </c>
      <c r="CH23" s="134">
        <f t="shared" si="58"/>
        <v>6828.8789999999999</v>
      </c>
      <c r="CI23" s="135">
        <f t="shared" si="58"/>
        <v>13557.169</v>
      </c>
      <c r="CJ23" s="126">
        <f t="shared" si="58"/>
        <v>15092.192999999999</v>
      </c>
      <c r="CK23" s="133">
        <f t="shared" si="58"/>
        <v>6662.9220000000005</v>
      </c>
      <c r="CL23" s="134">
        <f t="shared" si="58"/>
        <v>7052.1579999999994</v>
      </c>
      <c r="CM23" s="135">
        <f t="shared" si="58"/>
        <v>13715.08</v>
      </c>
      <c r="CN23" s="386">
        <f t="shared" si="58"/>
        <v>14384.48</v>
      </c>
      <c r="CO23" s="397">
        <f t="shared" si="58"/>
        <v>6765.6409999999996</v>
      </c>
      <c r="CP23" s="398">
        <f t="shared" si="58"/>
        <v>6798.89</v>
      </c>
      <c r="CQ23" s="399">
        <f t="shared" si="58"/>
        <v>13564.531000000001</v>
      </c>
      <c r="CR23" s="126">
        <f t="shared" si="58"/>
        <v>8208.6080000000002</v>
      </c>
      <c r="CS23" s="133">
        <f t="shared" si="58"/>
        <v>0</v>
      </c>
      <c r="CT23" s="134">
        <f t="shared" si="58"/>
        <v>0</v>
      </c>
      <c r="CU23" s="135">
        <f t="shared" si="58"/>
        <v>0</v>
      </c>
      <c r="CV23" s="126">
        <f t="shared" ref="CV23:DS23" si="59">CV24+CV31+CV34</f>
        <v>0</v>
      </c>
      <c r="CW23" s="133">
        <f t="shared" si="59"/>
        <v>0</v>
      </c>
      <c r="CX23" s="134">
        <f t="shared" si="59"/>
        <v>0</v>
      </c>
      <c r="CY23" s="135">
        <f t="shared" si="59"/>
        <v>0</v>
      </c>
      <c r="CZ23" s="126">
        <f t="shared" si="59"/>
        <v>24883.511999999999</v>
      </c>
      <c r="DA23" s="133">
        <f t="shared" si="59"/>
        <v>11819.007</v>
      </c>
      <c r="DB23" s="134">
        <f t="shared" si="59"/>
        <v>11732.044</v>
      </c>
      <c r="DC23" s="136">
        <f t="shared" si="59"/>
        <v>23551.050999999999</v>
      </c>
      <c r="DD23" s="126">
        <f t="shared" si="59"/>
        <v>24883.511999999999</v>
      </c>
      <c r="DE23" s="133">
        <f>DE24+DE31+DE34</f>
        <v>11418.12</v>
      </c>
      <c r="DF23" s="134">
        <f t="shared" si="59"/>
        <v>10862.279</v>
      </c>
      <c r="DG23" s="135">
        <f t="shared" si="59"/>
        <v>22280.399000000001</v>
      </c>
      <c r="DH23" s="386">
        <f t="shared" si="59"/>
        <v>24496.774000000001</v>
      </c>
      <c r="DI23" s="397">
        <f t="shared" si="59"/>
        <v>11036.597000000002</v>
      </c>
      <c r="DJ23" s="398">
        <f>DJ24+DJ31+DJ34</f>
        <v>11221.320000000002</v>
      </c>
      <c r="DK23" s="399">
        <f t="shared" si="59"/>
        <v>22257.917000000001</v>
      </c>
      <c r="DL23" s="126">
        <f t="shared" si="59"/>
        <v>24496.774000000001</v>
      </c>
      <c r="DM23" s="133">
        <f t="shared" si="59"/>
        <v>0</v>
      </c>
      <c r="DN23" s="134">
        <f t="shared" si="59"/>
        <v>0</v>
      </c>
      <c r="DO23" s="135">
        <f t="shared" si="59"/>
        <v>0</v>
      </c>
      <c r="DP23" s="126">
        <f t="shared" si="59"/>
        <v>1317.9959999999999</v>
      </c>
      <c r="DQ23" s="133">
        <f t="shared" si="59"/>
        <v>0</v>
      </c>
      <c r="DR23" s="134">
        <f t="shared" si="59"/>
        <v>0</v>
      </c>
      <c r="DS23" s="136">
        <f t="shared" si="59"/>
        <v>0</v>
      </c>
      <c r="DT23" s="83"/>
    </row>
    <row r="24" spans="1:124" s="25" customFormat="1" ht="14.25" x14ac:dyDescent="0.2">
      <c r="A24" s="29" t="s">
        <v>117</v>
      </c>
      <c r="B24" s="166" t="s">
        <v>118</v>
      </c>
      <c r="C24" s="167" t="s">
        <v>96</v>
      </c>
      <c r="D24" s="168">
        <f t="shared" ref="D24:BP24" si="60">D25+D28</f>
        <v>260299.864</v>
      </c>
      <c r="E24" s="169">
        <f t="shared" si="60"/>
        <v>141054.50899999999</v>
      </c>
      <c r="F24" s="170">
        <f t="shared" si="60"/>
        <v>136714.09700000004</v>
      </c>
      <c r="G24" s="141">
        <f t="shared" si="60"/>
        <v>277768.60600000003</v>
      </c>
      <c r="H24" s="138">
        <f t="shared" si="60"/>
        <v>260299.864</v>
      </c>
      <c r="I24" s="169">
        <f t="shared" si="60"/>
        <v>139909.05499999999</v>
      </c>
      <c r="J24" s="170">
        <f t="shared" si="60"/>
        <v>136179.38500000001</v>
      </c>
      <c r="K24" s="141">
        <f t="shared" si="60"/>
        <v>276088.44</v>
      </c>
      <c r="L24" s="387">
        <v>278417.87699999998</v>
      </c>
      <c r="M24" s="412">
        <f t="shared" ref="M24:O24" si="61">M25+M28</f>
        <v>140008.886</v>
      </c>
      <c r="N24" s="413">
        <f t="shared" si="61"/>
        <v>135486.57</v>
      </c>
      <c r="O24" s="405">
        <f t="shared" si="61"/>
        <v>275495.45600000001</v>
      </c>
      <c r="P24" s="138">
        <f t="shared" ref="P24:S24" si="62">P25+P28</f>
        <v>241388.29899999997</v>
      </c>
      <c r="Q24" s="169">
        <f t="shared" si="62"/>
        <v>0</v>
      </c>
      <c r="R24" s="170">
        <f t="shared" si="62"/>
        <v>0</v>
      </c>
      <c r="S24" s="141">
        <f t="shared" si="62"/>
        <v>0</v>
      </c>
      <c r="T24" s="138">
        <f t="shared" si="60"/>
        <v>225679.98199999999</v>
      </c>
      <c r="U24" s="169">
        <f>U25+U28</f>
        <v>0</v>
      </c>
      <c r="V24" s="170">
        <f>V25+V28</f>
        <v>0</v>
      </c>
      <c r="W24" s="141">
        <f>W25+W28</f>
        <v>0</v>
      </c>
      <c r="X24" s="168">
        <f t="shared" si="60"/>
        <v>31177.851000000002</v>
      </c>
      <c r="Y24" s="169">
        <f t="shared" si="60"/>
        <v>14657.791999999999</v>
      </c>
      <c r="Z24" s="170">
        <f t="shared" si="60"/>
        <v>13948.438</v>
      </c>
      <c r="AA24" s="141">
        <f t="shared" si="60"/>
        <v>28606.23</v>
      </c>
      <c r="AB24" s="138">
        <f t="shared" si="60"/>
        <v>0</v>
      </c>
      <c r="AC24" s="169">
        <f t="shared" si="60"/>
        <v>12236.249</v>
      </c>
      <c r="AD24" s="170">
        <f t="shared" si="60"/>
        <v>11712.004999999999</v>
      </c>
      <c r="AE24" s="141">
        <f t="shared" si="60"/>
        <v>23948.254000000001</v>
      </c>
      <c r="AF24" s="387">
        <f t="shared" si="60"/>
        <v>30060.227999999999</v>
      </c>
      <c r="AG24" s="412">
        <f t="shared" si="60"/>
        <v>11588.153</v>
      </c>
      <c r="AH24" s="413">
        <f t="shared" si="60"/>
        <v>11434.25</v>
      </c>
      <c r="AI24" s="405">
        <f t="shared" si="60"/>
        <v>23022.402999999998</v>
      </c>
      <c r="AJ24" s="138">
        <f t="shared" ref="AJ24:AM24" si="63">AJ25+AJ28</f>
        <v>0</v>
      </c>
      <c r="AK24" s="169">
        <f t="shared" si="63"/>
        <v>0</v>
      </c>
      <c r="AL24" s="170">
        <f t="shared" si="63"/>
        <v>0</v>
      </c>
      <c r="AM24" s="141">
        <f t="shared" si="63"/>
        <v>0</v>
      </c>
      <c r="AN24" s="138">
        <f t="shared" si="60"/>
        <v>0</v>
      </c>
      <c r="AO24" s="169">
        <f t="shared" si="60"/>
        <v>0</v>
      </c>
      <c r="AP24" s="170">
        <f t="shared" si="60"/>
        <v>0</v>
      </c>
      <c r="AQ24" s="141">
        <f t="shared" si="60"/>
        <v>0</v>
      </c>
      <c r="AR24" s="168">
        <f t="shared" si="60"/>
        <v>10410.964</v>
      </c>
      <c r="AS24" s="169">
        <f t="shared" si="60"/>
        <v>5042.8130000000001</v>
      </c>
      <c r="AT24" s="170">
        <f t="shared" si="60"/>
        <v>5036.2070000000003</v>
      </c>
      <c r="AU24" s="142">
        <f t="shared" si="60"/>
        <v>10079.02</v>
      </c>
      <c r="AV24" s="138">
        <f t="shared" si="60"/>
        <v>10410.964</v>
      </c>
      <c r="AW24" s="169">
        <f t="shared" si="60"/>
        <v>4804.2290000000003</v>
      </c>
      <c r="AX24" s="170">
        <f t="shared" si="60"/>
        <v>4547.759</v>
      </c>
      <c r="AY24" s="142">
        <f t="shared" si="60"/>
        <v>9351.9880000000012</v>
      </c>
      <c r="AZ24" s="387">
        <f t="shared" si="60"/>
        <v>10201.647000000001</v>
      </c>
      <c r="BA24" s="412">
        <f t="shared" si="60"/>
        <v>4709.8290000000006</v>
      </c>
      <c r="BB24" s="413">
        <f t="shared" si="60"/>
        <v>4753.8730000000005</v>
      </c>
      <c r="BC24" s="405">
        <f t="shared" si="60"/>
        <v>9463.7020000000011</v>
      </c>
      <c r="BD24" s="138">
        <f t="shared" ref="BD24:BG24" si="64">BD25+BD28</f>
        <v>10201.647000000001</v>
      </c>
      <c r="BE24" s="169">
        <f t="shared" si="64"/>
        <v>0</v>
      </c>
      <c r="BF24" s="170">
        <f t="shared" si="64"/>
        <v>0</v>
      </c>
      <c r="BG24" s="141">
        <f t="shared" si="64"/>
        <v>0</v>
      </c>
      <c r="BH24" s="138">
        <f t="shared" si="60"/>
        <v>10410.964</v>
      </c>
      <c r="BI24" s="169">
        <f>BI25+BI28</f>
        <v>0</v>
      </c>
      <c r="BJ24" s="170">
        <f>BJ25+BJ28</f>
        <v>0</v>
      </c>
      <c r="BK24" s="142">
        <f>BK25+BK28</f>
        <v>0</v>
      </c>
      <c r="BL24" s="168">
        <f t="shared" si="60"/>
        <v>18128.589000000004</v>
      </c>
      <c r="BM24" s="169">
        <f t="shared" si="60"/>
        <v>8847.3109999999997</v>
      </c>
      <c r="BN24" s="170">
        <f t="shared" si="60"/>
        <v>8336.3750000000018</v>
      </c>
      <c r="BO24" s="141">
        <f t="shared" si="60"/>
        <v>17183.686000000002</v>
      </c>
      <c r="BP24" s="138">
        <f t="shared" si="60"/>
        <v>18128.589000000004</v>
      </c>
      <c r="BQ24" s="169">
        <f t="shared" ref="BQ24:DS24" si="65">BQ25+BQ28</f>
        <v>8523.9259999999995</v>
      </c>
      <c r="BR24" s="170">
        <f t="shared" si="65"/>
        <v>8310.2020000000011</v>
      </c>
      <c r="BS24" s="141">
        <f t="shared" si="65"/>
        <v>16834.128000000001</v>
      </c>
      <c r="BT24" s="387">
        <f t="shared" si="65"/>
        <v>17954.112000000001</v>
      </c>
      <c r="BU24" s="412">
        <f t="shared" si="65"/>
        <v>8283.9330000000009</v>
      </c>
      <c r="BV24" s="413">
        <f t="shared" si="65"/>
        <v>8205.107</v>
      </c>
      <c r="BW24" s="405">
        <f t="shared" si="65"/>
        <v>16489.04</v>
      </c>
      <c r="BX24" s="138">
        <f t="shared" ref="BX24:CA24" si="66">BX25+BX28</f>
        <v>16930.727999999999</v>
      </c>
      <c r="BY24" s="169">
        <f t="shared" si="66"/>
        <v>0</v>
      </c>
      <c r="BZ24" s="170">
        <f t="shared" si="66"/>
        <v>0</v>
      </c>
      <c r="CA24" s="141">
        <f t="shared" si="66"/>
        <v>0</v>
      </c>
      <c r="CB24" s="138">
        <f t="shared" si="65"/>
        <v>17095.260000000002</v>
      </c>
      <c r="CC24" s="169">
        <f t="shared" si="65"/>
        <v>0</v>
      </c>
      <c r="CD24" s="170">
        <f t="shared" si="65"/>
        <v>0</v>
      </c>
      <c r="CE24" s="141">
        <f t="shared" si="65"/>
        <v>0</v>
      </c>
      <c r="CF24" s="168">
        <f t="shared" si="65"/>
        <v>12713.486000000001</v>
      </c>
      <c r="CG24" s="169">
        <f t="shared" si="65"/>
        <v>4731.29</v>
      </c>
      <c r="CH24" s="170">
        <f t="shared" si="65"/>
        <v>4161.8789999999999</v>
      </c>
      <c r="CI24" s="141">
        <f t="shared" si="65"/>
        <v>8893.1689999999999</v>
      </c>
      <c r="CJ24" s="138">
        <f>CJ25+CJ28</f>
        <v>11499.526</v>
      </c>
      <c r="CK24" s="169">
        <f t="shared" si="65"/>
        <v>4064.9220000000005</v>
      </c>
      <c r="CL24" s="170">
        <f t="shared" si="65"/>
        <v>3870.1579999999999</v>
      </c>
      <c r="CM24" s="141">
        <f t="shared" si="65"/>
        <v>7935.08</v>
      </c>
      <c r="CN24" s="387">
        <f t="shared" si="65"/>
        <v>10267.48</v>
      </c>
      <c r="CO24" s="412">
        <f t="shared" si="65"/>
        <v>3687.6410000000001</v>
      </c>
      <c r="CP24" s="413">
        <f t="shared" si="65"/>
        <v>3647.8900000000003</v>
      </c>
      <c r="CQ24" s="405">
        <f t="shared" si="65"/>
        <v>7335.5310000000009</v>
      </c>
      <c r="CR24" s="138">
        <f t="shared" ref="CR24:CU24" si="67">CR25+CR28</f>
        <v>7867.4690000000001</v>
      </c>
      <c r="CS24" s="169">
        <f t="shared" si="67"/>
        <v>0</v>
      </c>
      <c r="CT24" s="170">
        <f t="shared" si="67"/>
        <v>0</v>
      </c>
      <c r="CU24" s="141">
        <f t="shared" si="67"/>
        <v>0</v>
      </c>
      <c r="CV24" s="138">
        <f t="shared" si="65"/>
        <v>0</v>
      </c>
      <c r="CW24" s="169">
        <f>CW25+CW28</f>
        <v>0</v>
      </c>
      <c r="CX24" s="170">
        <f>CX25+CX28</f>
        <v>0</v>
      </c>
      <c r="CY24" s="141">
        <f>CY25+CY28</f>
        <v>0</v>
      </c>
      <c r="CZ24" s="168">
        <f t="shared" si="65"/>
        <v>23565.516</v>
      </c>
      <c r="DA24" s="169">
        <f t="shared" si="65"/>
        <v>11127.007</v>
      </c>
      <c r="DB24" s="170">
        <f t="shared" si="65"/>
        <v>11108.044</v>
      </c>
      <c r="DC24" s="142">
        <f t="shared" si="65"/>
        <v>22235.050999999999</v>
      </c>
      <c r="DD24" s="138">
        <f t="shared" si="65"/>
        <v>23565.516</v>
      </c>
      <c r="DE24" s="169">
        <f>DE25+DE28</f>
        <v>10968.12</v>
      </c>
      <c r="DF24" s="170">
        <f t="shared" si="65"/>
        <v>10157.279</v>
      </c>
      <c r="DG24" s="141">
        <f t="shared" si="65"/>
        <v>21125.399000000001</v>
      </c>
      <c r="DH24" s="387">
        <f t="shared" si="65"/>
        <v>23160.774000000001</v>
      </c>
      <c r="DI24" s="412">
        <f t="shared" si="65"/>
        <v>10410.397000000001</v>
      </c>
      <c r="DJ24" s="413">
        <f t="shared" si="65"/>
        <v>10426.120000000001</v>
      </c>
      <c r="DK24" s="405">
        <f t="shared" si="65"/>
        <v>20836.517</v>
      </c>
      <c r="DL24" s="138">
        <f t="shared" ref="DL24:DO24" si="68">DL25+DL28</f>
        <v>23160.774000000001</v>
      </c>
      <c r="DM24" s="169">
        <f t="shared" si="68"/>
        <v>0</v>
      </c>
      <c r="DN24" s="170">
        <f t="shared" si="68"/>
        <v>0</v>
      </c>
      <c r="DO24" s="141">
        <f t="shared" si="68"/>
        <v>0</v>
      </c>
      <c r="DP24" s="138">
        <f t="shared" si="65"/>
        <v>0</v>
      </c>
      <c r="DQ24" s="169">
        <f t="shared" si="65"/>
        <v>0</v>
      </c>
      <c r="DR24" s="170">
        <f t="shared" si="65"/>
        <v>0</v>
      </c>
      <c r="DS24" s="142">
        <f t="shared" si="65"/>
        <v>0</v>
      </c>
      <c r="DT24" s="40"/>
    </row>
    <row r="25" spans="1:124" s="20" customFormat="1" ht="15.75" customHeight="1" x14ac:dyDescent="0.2">
      <c r="A25" s="23"/>
      <c r="B25" s="147" t="s">
        <v>119</v>
      </c>
      <c r="C25" s="132" t="s">
        <v>96</v>
      </c>
      <c r="D25" s="126">
        <v>260299.864</v>
      </c>
      <c r="E25" s="133">
        <f t="shared" ref="E25:T25" si="69">E26+E27</f>
        <v>141054.50899999999</v>
      </c>
      <c r="F25" s="134">
        <f t="shared" si="69"/>
        <v>136714.09700000004</v>
      </c>
      <c r="G25" s="171">
        <f t="shared" si="69"/>
        <v>277768.60600000003</v>
      </c>
      <c r="H25" s="126">
        <f t="shared" si="69"/>
        <v>260299.864</v>
      </c>
      <c r="I25" s="133">
        <f t="shared" si="69"/>
        <v>139909.05499999999</v>
      </c>
      <c r="J25" s="134">
        <f t="shared" si="69"/>
        <v>136179.38500000001</v>
      </c>
      <c r="K25" s="171">
        <f t="shared" si="69"/>
        <v>276088.44</v>
      </c>
      <c r="L25" s="386">
        <v>278417.87699999998</v>
      </c>
      <c r="M25" s="397">
        <v>140008.886</v>
      </c>
      <c r="N25" s="398">
        <v>135486.57</v>
      </c>
      <c r="O25" s="414">
        <f>M25+N25</f>
        <v>275495.45600000001</v>
      </c>
      <c r="P25" s="126">
        <f t="shared" ref="P25:S25" si="70">P26+P27</f>
        <v>241388.29899999997</v>
      </c>
      <c r="Q25" s="133">
        <f t="shared" si="70"/>
        <v>0</v>
      </c>
      <c r="R25" s="134">
        <f t="shared" si="70"/>
        <v>0</v>
      </c>
      <c r="S25" s="171">
        <f t="shared" si="70"/>
        <v>0</v>
      </c>
      <c r="T25" s="126">
        <f t="shared" si="69"/>
        <v>225679.98199999999</v>
      </c>
      <c r="U25" s="133">
        <f>U26+U27</f>
        <v>0</v>
      </c>
      <c r="V25" s="134">
        <f>V26+V27</f>
        <v>0</v>
      </c>
      <c r="W25" s="171">
        <f>W26+W27</f>
        <v>0</v>
      </c>
      <c r="X25" s="126"/>
      <c r="Y25" s="133"/>
      <c r="Z25" s="134"/>
      <c r="AA25" s="171"/>
      <c r="AB25" s="126"/>
      <c r="AC25" s="133"/>
      <c r="AD25" s="134"/>
      <c r="AE25" s="171"/>
      <c r="AF25" s="386"/>
      <c r="AG25" s="397"/>
      <c r="AH25" s="398"/>
      <c r="AI25" s="414"/>
      <c r="AJ25" s="126"/>
      <c r="AK25" s="133"/>
      <c r="AL25" s="134"/>
      <c r="AM25" s="171"/>
      <c r="AN25" s="126"/>
      <c r="AO25" s="133">
        <f>AO26+AO27</f>
        <v>0</v>
      </c>
      <c r="AP25" s="134">
        <f>AP26+AP27</f>
        <v>0</v>
      </c>
      <c r="AQ25" s="171">
        <f>AQ26+AQ27</f>
        <v>0</v>
      </c>
      <c r="AR25" s="126"/>
      <c r="AS25" s="133"/>
      <c r="AT25" s="134"/>
      <c r="AU25" s="172"/>
      <c r="AV25" s="126"/>
      <c r="AW25" s="133"/>
      <c r="AX25" s="134"/>
      <c r="AY25" s="172"/>
      <c r="AZ25" s="386"/>
      <c r="BA25" s="397"/>
      <c r="BB25" s="398"/>
      <c r="BC25" s="414"/>
      <c r="BD25" s="126"/>
      <c r="BE25" s="133"/>
      <c r="BF25" s="134"/>
      <c r="BG25" s="171"/>
      <c r="BH25" s="126"/>
      <c r="BI25" s="133">
        <f>BI26+BI27</f>
        <v>0</v>
      </c>
      <c r="BJ25" s="134">
        <f>BJ26+BJ27</f>
        <v>0</v>
      </c>
      <c r="BK25" s="172">
        <f>BK26+BK27</f>
        <v>0</v>
      </c>
      <c r="BL25" s="126"/>
      <c r="BM25" s="133"/>
      <c r="BN25" s="134"/>
      <c r="BO25" s="171"/>
      <c r="BP25" s="126"/>
      <c r="BQ25" s="133"/>
      <c r="BR25" s="134"/>
      <c r="BS25" s="171"/>
      <c r="BT25" s="386"/>
      <c r="BU25" s="397"/>
      <c r="BV25" s="398"/>
      <c r="BW25" s="396"/>
      <c r="BX25" s="126"/>
      <c r="BY25" s="133"/>
      <c r="BZ25" s="134"/>
      <c r="CA25" s="171"/>
      <c r="CB25" s="126"/>
      <c r="CC25" s="133">
        <f>CC26+CC27</f>
        <v>0</v>
      </c>
      <c r="CD25" s="134">
        <f>CD26+CD27</f>
        <v>0</v>
      </c>
      <c r="CE25" s="171">
        <f>CE26+CE27</f>
        <v>0</v>
      </c>
      <c r="CF25" s="126"/>
      <c r="CG25" s="133"/>
      <c r="CH25" s="134"/>
      <c r="CI25" s="171"/>
      <c r="CJ25" s="126"/>
      <c r="CK25" s="133"/>
      <c r="CL25" s="134"/>
      <c r="CM25" s="171"/>
      <c r="CN25" s="386"/>
      <c r="CO25" s="397"/>
      <c r="CP25" s="398"/>
      <c r="CQ25" s="414"/>
      <c r="CR25" s="126"/>
      <c r="CS25" s="133"/>
      <c r="CT25" s="134"/>
      <c r="CU25" s="171"/>
      <c r="CV25" s="126"/>
      <c r="CW25" s="133">
        <f>CW26+CW27</f>
        <v>0</v>
      </c>
      <c r="CX25" s="134">
        <f>CX26+CX27</f>
        <v>0</v>
      </c>
      <c r="CY25" s="171">
        <f>CY26+CY27</f>
        <v>0</v>
      </c>
      <c r="CZ25" s="126"/>
      <c r="DA25" s="133"/>
      <c r="DB25" s="134"/>
      <c r="DC25" s="172"/>
      <c r="DD25" s="126"/>
      <c r="DE25" s="133"/>
      <c r="DF25" s="134"/>
      <c r="DG25" s="171"/>
      <c r="DH25" s="386"/>
      <c r="DI25" s="397"/>
      <c r="DJ25" s="398"/>
      <c r="DK25" s="414"/>
      <c r="DL25" s="126"/>
      <c r="DM25" s="133"/>
      <c r="DN25" s="134"/>
      <c r="DO25" s="171"/>
      <c r="DP25" s="126"/>
      <c r="DQ25" s="133">
        <f>DQ26+DQ27</f>
        <v>0</v>
      </c>
      <c r="DR25" s="134">
        <f>DR26+DR27</f>
        <v>0</v>
      </c>
      <c r="DS25" s="172">
        <f>DS26+DS27</f>
        <v>0</v>
      </c>
      <c r="DT25" s="39"/>
    </row>
    <row r="26" spans="1:124" s="20" customFormat="1" ht="15" x14ac:dyDescent="0.2">
      <c r="A26" s="22"/>
      <c r="B26" s="173" t="s">
        <v>120</v>
      </c>
      <c r="C26" s="124" t="s">
        <v>96</v>
      </c>
      <c r="D26" s="125">
        <v>34619.881999999998</v>
      </c>
      <c r="E26" s="127">
        <v>20290.195</v>
      </c>
      <c r="F26" s="128">
        <v>20195.027999999998</v>
      </c>
      <c r="G26" s="171">
        <f>E26+F26</f>
        <v>40485.222999999998</v>
      </c>
      <c r="H26" s="126">
        <f>D26</f>
        <v>34619.881999999998</v>
      </c>
      <c r="I26" s="127">
        <v>25560.124</v>
      </c>
      <c r="J26" s="128">
        <v>24096.405999999999</v>
      </c>
      <c r="K26" s="171">
        <f>I26+J26</f>
        <v>49656.53</v>
      </c>
      <c r="L26" s="386">
        <v>37029.578000000001</v>
      </c>
      <c r="M26" s="394">
        <v>26297.78</v>
      </c>
      <c r="N26" s="395">
        <v>23890.073</v>
      </c>
      <c r="O26" s="414">
        <f>M26+N26</f>
        <v>50187.853000000003</v>
      </c>
      <c r="P26" s="126"/>
      <c r="Q26" s="127"/>
      <c r="R26" s="128"/>
      <c r="S26" s="171">
        <f>Q26+R26</f>
        <v>0</v>
      </c>
      <c r="T26" s="126"/>
      <c r="U26" s="127"/>
      <c r="V26" s="128"/>
      <c r="W26" s="171"/>
      <c r="X26" s="125"/>
      <c r="Y26" s="133"/>
      <c r="Z26" s="134"/>
      <c r="AA26" s="135"/>
      <c r="AB26" s="126"/>
      <c r="AC26" s="133"/>
      <c r="AD26" s="134"/>
      <c r="AE26" s="135"/>
      <c r="AF26" s="386"/>
      <c r="AG26" s="397"/>
      <c r="AH26" s="398"/>
      <c r="AI26" s="399"/>
      <c r="AJ26" s="126"/>
      <c r="AK26" s="133"/>
      <c r="AL26" s="134"/>
      <c r="AM26" s="135"/>
      <c r="AN26" s="126"/>
      <c r="AO26" s="127"/>
      <c r="AP26" s="128"/>
      <c r="AQ26" s="171"/>
      <c r="AR26" s="125"/>
      <c r="AS26" s="127"/>
      <c r="AT26" s="128"/>
      <c r="AU26" s="172"/>
      <c r="AV26" s="126"/>
      <c r="AW26" s="127"/>
      <c r="AX26" s="128"/>
      <c r="AY26" s="172"/>
      <c r="AZ26" s="386"/>
      <c r="BA26" s="394"/>
      <c r="BB26" s="395"/>
      <c r="BC26" s="414"/>
      <c r="BD26" s="126"/>
      <c r="BE26" s="127"/>
      <c r="BF26" s="128"/>
      <c r="BG26" s="171"/>
      <c r="BH26" s="126"/>
      <c r="BI26" s="127"/>
      <c r="BJ26" s="128"/>
      <c r="BK26" s="172"/>
      <c r="BL26" s="125"/>
      <c r="BM26" s="127"/>
      <c r="BN26" s="128"/>
      <c r="BO26" s="171"/>
      <c r="BP26" s="126"/>
      <c r="BQ26" s="127"/>
      <c r="BR26" s="128"/>
      <c r="BS26" s="171"/>
      <c r="BT26" s="386"/>
      <c r="BU26" s="394"/>
      <c r="BV26" s="395"/>
      <c r="BW26" s="399"/>
      <c r="BX26" s="126"/>
      <c r="BY26" s="127"/>
      <c r="BZ26" s="128"/>
      <c r="CA26" s="171"/>
      <c r="CB26" s="126"/>
      <c r="CC26" s="127"/>
      <c r="CD26" s="128"/>
      <c r="CE26" s="171"/>
      <c r="CF26" s="125"/>
      <c r="CG26" s="127"/>
      <c r="CH26" s="128"/>
      <c r="CI26" s="171"/>
      <c r="CJ26" s="126"/>
      <c r="CK26" s="127"/>
      <c r="CL26" s="128"/>
      <c r="CM26" s="171"/>
      <c r="CN26" s="386"/>
      <c r="CO26" s="394"/>
      <c r="CP26" s="395"/>
      <c r="CQ26" s="414"/>
      <c r="CR26" s="126"/>
      <c r="CS26" s="127"/>
      <c r="CT26" s="128"/>
      <c r="CU26" s="171"/>
      <c r="CV26" s="126"/>
      <c r="CW26" s="127"/>
      <c r="CX26" s="128"/>
      <c r="CY26" s="171"/>
      <c r="CZ26" s="125"/>
      <c r="DA26" s="127"/>
      <c r="DB26" s="128"/>
      <c r="DC26" s="172"/>
      <c r="DD26" s="126"/>
      <c r="DE26" s="127"/>
      <c r="DF26" s="128"/>
      <c r="DG26" s="171"/>
      <c r="DH26" s="386"/>
      <c r="DI26" s="394"/>
      <c r="DJ26" s="395"/>
      <c r="DK26" s="414"/>
      <c r="DL26" s="126"/>
      <c r="DM26" s="127"/>
      <c r="DN26" s="128"/>
      <c r="DO26" s="171"/>
      <c r="DP26" s="126"/>
      <c r="DQ26" s="127"/>
      <c r="DR26" s="128"/>
      <c r="DS26" s="172"/>
      <c r="DT26" s="39"/>
    </row>
    <row r="27" spans="1:124" s="20" customFormat="1" ht="15" x14ac:dyDescent="0.2">
      <c r="A27" s="23"/>
      <c r="B27" s="131" t="s">
        <v>121</v>
      </c>
      <c r="C27" s="132" t="s">
        <v>96</v>
      </c>
      <c r="D27" s="126">
        <v>225679.98199999999</v>
      </c>
      <c r="E27" s="133">
        <v>120764.31399999998</v>
      </c>
      <c r="F27" s="134">
        <v>116519.06900000005</v>
      </c>
      <c r="G27" s="129">
        <f>E27+F27</f>
        <v>237283.38300000003</v>
      </c>
      <c r="H27" s="126">
        <f>D27</f>
        <v>225679.98199999999</v>
      </c>
      <c r="I27" s="133">
        <v>114348.931</v>
      </c>
      <c r="J27" s="134">
        <v>112082.97900000001</v>
      </c>
      <c r="K27" s="129">
        <f>I27+J27</f>
        <v>226431.91</v>
      </c>
      <c r="L27" s="386">
        <v>241388.29899999997</v>
      </c>
      <c r="M27" s="397">
        <v>113711.106</v>
      </c>
      <c r="N27" s="398">
        <v>111596.497</v>
      </c>
      <c r="O27" s="396">
        <f>M27+N27</f>
        <v>225307.603</v>
      </c>
      <c r="P27" s="126">
        <f>L27</f>
        <v>241388.29899999997</v>
      </c>
      <c r="Q27" s="133"/>
      <c r="R27" s="134"/>
      <c r="S27" s="129">
        <f>Q27+R27</f>
        <v>0</v>
      </c>
      <c r="T27" s="126">
        <f>H27</f>
        <v>225679.98199999999</v>
      </c>
      <c r="U27" s="133"/>
      <c r="V27" s="134"/>
      <c r="W27" s="129"/>
      <c r="X27" s="126"/>
      <c r="Y27" s="133"/>
      <c r="Z27" s="134"/>
      <c r="AA27" s="135"/>
      <c r="AB27" s="126"/>
      <c r="AC27" s="133"/>
      <c r="AD27" s="134"/>
      <c r="AE27" s="135"/>
      <c r="AF27" s="386"/>
      <c r="AG27" s="397"/>
      <c r="AH27" s="398"/>
      <c r="AI27" s="399"/>
      <c r="AJ27" s="126"/>
      <c r="AK27" s="133"/>
      <c r="AL27" s="134"/>
      <c r="AM27" s="135"/>
      <c r="AN27" s="126"/>
      <c r="AO27" s="133"/>
      <c r="AP27" s="134"/>
      <c r="AQ27" s="129"/>
      <c r="AR27" s="126"/>
      <c r="AS27" s="133"/>
      <c r="AT27" s="134"/>
      <c r="AU27" s="130"/>
      <c r="AV27" s="126"/>
      <c r="AW27" s="133"/>
      <c r="AX27" s="134"/>
      <c r="AY27" s="130"/>
      <c r="AZ27" s="386"/>
      <c r="BA27" s="397"/>
      <c r="BB27" s="398"/>
      <c r="BC27" s="396"/>
      <c r="BD27" s="126"/>
      <c r="BE27" s="133"/>
      <c r="BF27" s="134"/>
      <c r="BG27" s="129"/>
      <c r="BH27" s="126"/>
      <c r="BI27" s="133"/>
      <c r="BJ27" s="134"/>
      <c r="BK27" s="130"/>
      <c r="BL27" s="126"/>
      <c r="BM27" s="133"/>
      <c r="BN27" s="134"/>
      <c r="BO27" s="129"/>
      <c r="BP27" s="126"/>
      <c r="BQ27" s="133"/>
      <c r="BR27" s="134"/>
      <c r="BS27" s="129"/>
      <c r="BT27" s="386"/>
      <c r="BU27" s="397"/>
      <c r="BV27" s="398"/>
      <c r="BW27" s="396"/>
      <c r="BX27" s="126"/>
      <c r="BY27" s="133"/>
      <c r="BZ27" s="134"/>
      <c r="CA27" s="129"/>
      <c r="CB27" s="126"/>
      <c r="CC27" s="133"/>
      <c r="CD27" s="134"/>
      <c r="CE27" s="129"/>
      <c r="CF27" s="126"/>
      <c r="CG27" s="133"/>
      <c r="CH27" s="134"/>
      <c r="CI27" s="129"/>
      <c r="CJ27" s="126"/>
      <c r="CK27" s="133"/>
      <c r="CL27" s="134"/>
      <c r="CM27" s="129"/>
      <c r="CN27" s="386"/>
      <c r="CO27" s="397"/>
      <c r="CP27" s="398"/>
      <c r="CQ27" s="396"/>
      <c r="CR27" s="126"/>
      <c r="CS27" s="133"/>
      <c r="CT27" s="134"/>
      <c r="CU27" s="129"/>
      <c r="CV27" s="126"/>
      <c r="CW27" s="133"/>
      <c r="CX27" s="134"/>
      <c r="CY27" s="129"/>
      <c r="CZ27" s="126"/>
      <c r="DA27" s="133"/>
      <c r="DB27" s="134"/>
      <c r="DC27" s="130"/>
      <c r="DD27" s="126"/>
      <c r="DE27" s="133"/>
      <c r="DF27" s="134"/>
      <c r="DG27" s="171"/>
      <c r="DH27" s="386"/>
      <c r="DI27" s="397"/>
      <c r="DJ27" s="398"/>
      <c r="DK27" s="396"/>
      <c r="DL27" s="126"/>
      <c r="DM27" s="133"/>
      <c r="DN27" s="134"/>
      <c r="DO27" s="129"/>
      <c r="DP27" s="126"/>
      <c r="DQ27" s="133"/>
      <c r="DR27" s="134"/>
      <c r="DS27" s="130"/>
      <c r="DT27" s="39"/>
    </row>
    <row r="28" spans="1:124" s="25" customFormat="1" ht="14.25" x14ac:dyDescent="0.2">
      <c r="A28" s="24" t="s">
        <v>122</v>
      </c>
      <c r="B28" s="174" t="s">
        <v>123</v>
      </c>
      <c r="C28" s="144" t="s">
        <v>96</v>
      </c>
      <c r="D28" s="138"/>
      <c r="E28" s="139"/>
      <c r="F28" s="140"/>
      <c r="G28" s="141"/>
      <c r="H28" s="138"/>
      <c r="I28" s="139"/>
      <c r="J28" s="140"/>
      <c r="K28" s="141"/>
      <c r="L28" s="387"/>
      <c r="M28" s="403"/>
      <c r="N28" s="404"/>
      <c r="O28" s="405"/>
      <c r="P28" s="138"/>
      <c r="Q28" s="139"/>
      <c r="R28" s="140"/>
      <c r="S28" s="141"/>
      <c r="T28" s="138"/>
      <c r="U28" s="139"/>
      <c r="V28" s="140"/>
      <c r="W28" s="141"/>
      <c r="X28" s="138">
        <f>X29+X30</f>
        <v>31177.851000000002</v>
      </c>
      <c r="Y28" s="139">
        <f>Y29+Y30</f>
        <v>14657.791999999999</v>
      </c>
      <c r="Z28" s="140">
        <f>Z29+Z30</f>
        <v>13948.438</v>
      </c>
      <c r="AA28" s="141">
        <f>Y28+Z28</f>
        <v>28606.23</v>
      </c>
      <c r="AB28" s="138">
        <f>AB29+AB30</f>
        <v>0</v>
      </c>
      <c r="AC28" s="139">
        <f>AC29+AC30</f>
        <v>12236.249</v>
      </c>
      <c r="AD28" s="140">
        <f>AD29+AD30</f>
        <v>11712.004999999999</v>
      </c>
      <c r="AE28" s="141">
        <f>AC28+AD28</f>
        <v>23948.254000000001</v>
      </c>
      <c r="AF28" s="387">
        <v>30060.227999999999</v>
      </c>
      <c r="AG28" s="403">
        <f>AG29+AG30</f>
        <v>11588.153</v>
      </c>
      <c r="AH28" s="404">
        <f>AH29+AH30</f>
        <v>11434.25</v>
      </c>
      <c r="AI28" s="405">
        <f>AG28+AH28</f>
        <v>23022.402999999998</v>
      </c>
      <c r="AJ28" s="138">
        <f>AJ29+AJ30</f>
        <v>0</v>
      </c>
      <c r="AK28" s="139">
        <f>AK29+AK30</f>
        <v>0</v>
      </c>
      <c r="AL28" s="140">
        <f>AL29+AL30</f>
        <v>0</v>
      </c>
      <c r="AM28" s="141">
        <f>AK28+AL28</f>
        <v>0</v>
      </c>
      <c r="AN28" s="138">
        <f>AN29+AN30</f>
        <v>0</v>
      </c>
      <c r="AO28" s="139"/>
      <c r="AP28" s="140"/>
      <c r="AQ28" s="141"/>
      <c r="AR28" s="138">
        <f>AR29+AR30</f>
        <v>10410.964</v>
      </c>
      <c r="AS28" s="139">
        <f>AS29+AS30</f>
        <v>5042.8130000000001</v>
      </c>
      <c r="AT28" s="140">
        <f>AT29+AT30</f>
        <v>5036.2070000000003</v>
      </c>
      <c r="AU28" s="142">
        <f>AS28+AT28</f>
        <v>10079.02</v>
      </c>
      <c r="AV28" s="138">
        <f>AV29+AV30</f>
        <v>10410.964</v>
      </c>
      <c r="AW28" s="139">
        <f>AW29+AW30</f>
        <v>4804.2290000000003</v>
      </c>
      <c r="AX28" s="140">
        <f>AX29+AX30</f>
        <v>4547.759</v>
      </c>
      <c r="AY28" s="142">
        <f>AW28+AX28</f>
        <v>9351.9880000000012</v>
      </c>
      <c r="AZ28" s="387">
        <f>AZ29+AZ30</f>
        <v>10201.647000000001</v>
      </c>
      <c r="BA28" s="403">
        <f>BA29+BA30</f>
        <v>4709.8290000000006</v>
      </c>
      <c r="BB28" s="404">
        <f>BB29+BB30</f>
        <v>4753.8730000000005</v>
      </c>
      <c r="BC28" s="405">
        <f>BA28+BB28</f>
        <v>9463.7020000000011</v>
      </c>
      <c r="BD28" s="138">
        <f>BD29+BD30</f>
        <v>10201.647000000001</v>
      </c>
      <c r="BE28" s="139">
        <f>BE29+BE30</f>
        <v>0</v>
      </c>
      <c r="BF28" s="140">
        <f>BF29+BF30</f>
        <v>0</v>
      </c>
      <c r="BG28" s="141">
        <f>BE28+BF28</f>
        <v>0</v>
      </c>
      <c r="BH28" s="138">
        <f>BH29+BH30</f>
        <v>10410.964</v>
      </c>
      <c r="BI28" s="139"/>
      <c r="BJ28" s="140"/>
      <c r="BK28" s="142"/>
      <c r="BL28" s="138">
        <f>BL29+BL30</f>
        <v>18128.589000000004</v>
      </c>
      <c r="BM28" s="139">
        <f>BM29+BM30</f>
        <v>8847.3109999999997</v>
      </c>
      <c r="BN28" s="140">
        <f>BN29+BN30</f>
        <v>8336.3750000000018</v>
      </c>
      <c r="BO28" s="141">
        <f>BM28+BN28</f>
        <v>17183.686000000002</v>
      </c>
      <c r="BP28" s="138">
        <f>BP29+BP30</f>
        <v>18128.589000000004</v>
      </c>
      <c r="BQ28" s="139">
        <f>BQ29+BQ30</f>
        <v>8523.9259999999995</v>
      </c>
      <c r="BR28" s="140">
        <f>BR29+BR30</f>
        <v>8310.2020000000011</v>
      </c>
      <c r="BS28" s="141">
        <f>BQ28+BR28</f>
        <v>16834.128000000001</v>
      </c>
      <c r="BT28" s="387">
        <f>BT29+BT30</f>
        <v>17954.112000000001</v>
      </c>
      <c r="BU28" s="403">
        <f>BU29+BU30</f>
        <v>8283.9330000000009</v>
      </c>
      <c r="BV28" s="404">
        <f>BV29+BV30</f>
        <v>8205.107</v>
      </c>
      <c r="BW28" s="405">
        <f>BU28+BV28</f>
        <v>16489.04</v>
      </c>
      <c r="BX28" s="138">
        <f>BX29+BX30</f>
        <v>16930.727999999999</v>
      </c>
      <c r="BY28" s="139">
        <f>BY29+BY30</f>
        <v>0</v>
      </c>
      <c r="BZ28" s="140">
        <f>BZ29+BZ30</f>
        <v>0</v>
      </c>
      <c r="CA28" s="141">
        <f>BY28+BZ28</f>
        <v>0</v>
      </c>
      <c r="CB28" s="138">
        <f>CB29+CB30</f>
        <v>17095.260000000002</v>
      </c>
      <c r="CC28" s="139"/>
      <c r="CD28" s="140"/>
      <c r="CE28" s="141"/>
      <c r="CF28" s="138">
        <f>CF29+CF30</f>
        <v>12713.486000000001</v>
      </c>
      <c r="CG28" s="139">
        <f>CG29+CG30</f>
        <v>4731.29</v>
      </c>
      <c r="CH28" s="140">
        <f>CH29+CH30</f>
        <v>4161.8789999999999</v>
      </c>
      <c r="CI28" s="141">
        <f>CG28+CH28</f>
        <v>8893.1689999999999</v>
      </c>
      <c r="CJ28" s="138">
        <f>[2]Омол!$K$27</f>
        <v>11499.526</v>
      </c>
      <c r="CK28" s="139">
        <f>CK29+CK30</f>
        <v>4064.9220000000005</v>
      </c>
      <c r="CL28" s="140">
        <f>CL29+CL30</f>
        <v>3870.1579999999999</v>
      </c>
      <c r="CM28" s="141">
        <f>CK28+CL28</f>
        <v>7935.08</v>
      </c>
      <c r="CN28" s="387">
        <f>CN29+CN30</f>
        <v>10267.48</v>
      </c>
      <c r="CO28" s="403">
        <f>CO29+CO30</f>
        <v>3687.6410000000001</v>
      </c>
      <c r="CP28" s="404">
        <f>CP29+CP30</f>
        <v>3647.8900000000003</v>
      </c>
      <c r="CQ28" s="405">
        <f>CO28+CP28</f>
        <v>7335.5310000000009</v>
      </c>
      <c r="CR28" s="138">
        <f>CR29+CR30</f>
        <v>7867.4690000000001</v>
      </c>
      <c r="CS28" s="139">
        <f>CS29+CS30</f>
        <v>0</v>
      </c>
      <c r="CT28" s="140">
        <f>CT29+CT30</f>
        <v>0</v>
      </c>
      <c r="CU28" s="141">
        <f>CS28+CT28</f>
        <v>0</v>
      </c>
      <c r="CV28" s="138">
        <f>CV29+CV30</f>
        <v>0</v>
      </c>
      <c r="CW28" s="139"/>
      <c r="CX28" s="140"/>
      <c r="CY28" s="141"/>
      <c r="CZ28" s="138">
        <f>CZ29+CZ30</f>
        <v>23565.516</v>
      </c>
      <c r="DA28" s="139">
        <f>DA29+DA30</f>
        <v>11127.007</v>
      </c>
      <c r="DB28" s="140">
        <f>DB29+DB30</f>
        <v>11108.044</v>
      </c>
      <c r="DC28" s="142">
        <f>DA28+DB28</f>
        <v>22235.050999999999</v>
      </c>
      <c r="DD28" s="138">
        <f>DD29+DD30</f>
        <v>23565.516</v>
      </c>
      <c r="DE28" s="139">
        <f>DE29+DE30</f>
        <v>10968.12</v>
      </c>
      <c r="DF28" s="140">
        <f>DF29+DF30</f>
        <v>10157.279</v>
      </c>
      <c r="DG28" s="141">
        <f>DE28+DF28</f>
        <v>21125.399000000001</v>
      </c>
      <c r="DH28" s="387">
        <f>DH29+DH30</f>
        <v>23160.774000000001</v>
      </c>
      <c r="DI28" s="403">
        <f>DI29+DI30</f>
        <v>10410.397000000001</v>
      </c>
      <c r="DJ28" s="404">
        <f>DJ29+DJ30</f>
        <v>10426.120000000001</v>
      </c>
      <c r="DK28" s="405">
        <f>DI28+DJ28</f>
        <v>20836.517</v>
      </c>
      <c r="DL28" s="138">
        <f>DL29+DL30</f>
        <v>23160.774000000001</v>
      </c>
      <c r="DM28" s="139">
        <f>DM29+DM30</f>
        <v>0</v>
      </c>
      <c r="DN28" s="140">
        <f>DN29+DN30</f>
        <v>0</v>
      </c>
      <c r="DO28" s="141">
        <f>DM28+DN28</f>
        <v>0</v>
      </c>
      <c r="DP28" s="138">
        <f>DP29+DP30</f>
        <v>0</v>
      </c>
      <c r="DQ28" s="139"/>
      <c r="DR28" s="140"/>
      <c r="DS28" s="142"/>
      <c r="DT28" s="40"/>
    </row>
    <row r="29" spans="1:124" s="20" customFormat="1" ht="15" x14ac:dyDescent="0.2">
      <c r="A29" s="23"/>
      <c r="B29" s="131" t="s">
        <v>120</v>
      </c>
      <c r="C29" s="132" t="s">
        <v>96</v>
      </c>
      <c r="D29" s="126"/>
      <c r="E29" s="133"/>
      <c r="F29" s="134"/>
      <c r="G29" s="129"/>
      <c r="H29" s="126"/>
      <c r="I29" s="133"/>
      <c r="J29" s="134"/>
      <c r="K29" s="129"/>
      <c r="L29" s="386"/>
      <c r="M29" s="397"/>
      <c r="N29" s="398"/>
      <c r="O29" s="396"/>
      <c r="P29" s="126"/>
      <c r="Q29" s="133"/>
      <c r="R29" s="134"/>
      <c r="S29" s="129"/>
      <c r="T29" s="126"/>
      <c r="U29" s="133"/>
      <c r="V29" s="134"/>
      <c r="W29" s="129"/>
      <c r="X29" s="126">
        <v>31177.851000000002</v>
      </c>
      <c r="Y29" s="133">
        <v>538</v>
      </c>
      <c r="Z29" s="134">
        <v>733</v>
      </c>
      <c r="AA29" s="135">
        <f>Y29+Z29</f>
        <v>1271</v>
      </c>
      <c r="AB29" s="126"/>
      <c r="AC29" s="133">
        <v>1587</v>
      </c>
      <c r="AD29" s="134">
        <v>1737</v>
      </c>
      <c r="AE29" s="135">
        <f>AC29+AD29</f>
        <v>3324</v>
      </c>
      <c r="AF29" s="386">
        <v>29664.550999999999</v>
      </c>
      <c r="AG29" s="397">
        <v>1805</v>
      </c>
      <c r="AH29" s="398">
        <v>1624</v>
      </c>
      <c r="AI29" s="399">
        <f>AG29+AH29</f>
        <v>3429</v>
      </c>
      <c r="AJ29" s="126"/>
      <c r="AK29" s="133">
        <v>0</v>
      </c>
      <c r="AL29" s="134">
        <v>0</v>
      </c>
      <c r="AM29" s="135">
        <f>AK29+AL29</f>
        <v>0</v>
      </c>
      <c r="AN29" s="126"/>
      <c r="AO29" s="133"/>
      <c r="AP29" s="134"/>
      <c r="AQ29" s="129"/>
      <c r="AR29" s="126">
        <f>'[3]раздел 2'!AJ29</f>
        <v>0</v>
      </c>
      <c r="AS29" s="133">
        <v>1.571</v>
      </c>
      <c r="AT29" s="134">
        <v>18.314</v>
      </c>
      <c r="AU29" s="136">
        <f>AS29+AT29</f>
        <v>19.885000000000002</v>
      </c>
      <c r="AV29" s="126"/>
      <c r="AW29" s="133">
        <v>29.04</v>
      </c>
      <c r="AX29" s="134">
        <v>29.752000000000002</v>
      </c>
      <c r="AY29" s="136">
        <f>AW29+AX29</f>
        <v>58.792000000000002</v>
      </c>
      <c r="AZ29" s="386"/>
      <c r="BA29" s="397">
        <v>23.968999999999998</v>
      </c>
      <c r="BB29" s="398">
        <v>27.459</v>
      </c>
      <c r="BC29" s="399">
        <f>BA29+BB29</f>
        <v>51.427999999999997</v>
      </c>
      <c r="BD29" s="126"/>
      <c r="BE29" s="133"/>
      <c r="BF29" s="134"/>
      <c r="BG29" s="129"/>
      <c r="BH29" s="126"/>
      <c r="BI29" s="133"/>
      <c r="BJ29" s="134"/>
      <c r="BK29" s="130"/>
      <c r="BL29" s="126">
        <v>1033.329</v>
      </c>
      <c r="BM29" s="133">
        <v>1307</v>
      </c>
      <c r="BN29" s="134">
        <v>1394.01</v>
      </c>
      <c r="BO29" s="129">
        <f>BM29+BN29</f>
        <v>2701.01</v>
      </c>
      <c r="BP29" s="126">
        <f>BL29</f>
        <v>1033.329</v>
      </c>
      <c r="BQ29" s="133">
        <v>1794</v>
      </c>
      <c r="BR29" s="134">
        <v>1818</v>
      </c>
      <c r="BS29" s="129">
        <f>BQ29+BR29</f>
        <v>3612</v>
      </c>
      <c r="BT29" s="386">
        <v>1023.384</v>
      </c>
      <c r="BU29" s="397">
        <v>1989</v>
      </c>
      <c r="BV29" s="398">
        <v>2012</v>
      </c>
      <c r="BW29" s="396">
        <f>BU29+BV29</f>
        <v>4001</v>
      </c>
      <c r="BX29" s="126"/>
      <c r="BY29" s="133"/>
      <c r="BZ29" s="134"/>
      <c r="CA29" s="129">
        <f>BY29+BZ29</f>
        <v>0</v>
      </c>
      <c r="CB29" s="126"/>
      <c r="CC29" s="133"/>
      <c r="CD29" s="134"/>
      <c r="CE29" s="129"/>
      <c r="CF29" s="126">
        <v>2957.1570000000002</v>
      </c>
      <c r="CG29" s="133"/>
      <c r="CH29" s="134"/>
      <c r="CI29" s="135">
        <f>CG29+CH29</f>
        <v>0</v>
      </c>
      <c r="CJ29" s="126">
        <f>CF64*CJ28</f>
        <v>0</v>
      </c>
      <c r="CK29" s="133">
        <v>2055.7820000000002</v>
      </c>
      <c r="CL29" s="134">
        <v>1898</v>
      </c>
      <c r="CM29" s="135">
        <f>CK29+CL29</f>
        <v>3953.7820000000002</v>
      </c>
      <c r="CN29" s="386">
        <v>2400.011</v>
      </c>
      <c r="CO29" s="397">
        <v>1736</v>
      </c>
      <c r="CP29" s="398">
        <v>1609</v>
      </c>
      <c r="CQ29" s="399">
        <f>CO29+CP29</f>
        <v>3345</v>
      </c>
      <c r="CR29" s="126"/>
      <c r="CS29" s="133"/>
      <c r="CT29" s="134"/>
      <c r="CU29" s="135">
        <f>CS29+CT29</f>
        <v>0</v>
      </c>
      <c r="CV29" s="126"/>
      <c r="CW29" s="133"/>
      <c r="CX29" s="134"/>
      <c r="CY29" s="129"/>
      <c r="CZ29" s="126">
        <v>23565.516</v>
      </c>
      <c r="DA29" s="133">
        <v>0</v>
      </c>
      <c r="DB29" s="134">
        <v>46</v>
      </c>
      <c r="DC29" s="172">
        <f>DA29+DB29</f>
        <v>46</v>
      </c>
      <c r="DD29" s="126">
        <f>CZ29</f>
        <v>23565.516</v>
      </c>
      <c r="DE29" s="127">
        <v>100</v>
      </c>
      <c r="DF29" s="128">
        <v>223</v>
      </c>
      <c r="DG29" s="171">
        <f>DE29+DF29</f>
        <v>323</v>
      </c>
      <c r="DH29" s="386"/>
      <c r="DI29" s="397">
        <v>301</v>
      </c>
      <c r="DJ29" s="398">
        <v>256</v>
      </c>
      <c r="DK29" s="414">
        <f>DI29+DJ29</f>
        <v>557</v>
      </c>
      <c r="DL29" s="126"/>
      <c r="DM29" s="133"/>
      <c r="DN29" s="134"/>
      <c r="DO29" s="171">
        <f>DM29+DN29</f>
        <v>0</v>
      </c>
      <c r="DP29" s="126"/>
      <c r="DQ29" s="133"/>
      <c r="DR29" s="134"/>
      <c r="DS29" s="130"/>
      <c r="DT29" s="39"/>
    </row>
    <row r="30" spans="1:124" s="20" customFormat="1" ht="15" x14ac:dyDescent="0.2">
      <c r="A30" s="23"/>
      <c r="B30" s="131" t="s">
        <v>121</v>
      </c>
      <c r="C30" s="132" t="s">
        <v>96</v>
      </c>
      <c r="D30" s="126"/>
      <c r="E30" s="133"/>
      <c r="F30" s="134"/>
      <c r="G30" s="135"/>
      <c r="H30" s="126"/>
      <c r="I30" s="133"/>
      <c r="J30" s="134"/>
      <c r="K30" s="135"/>
      <c r="L30" s="386"/>
      <c r="M30" s="397"/>
      <c r="N30" s="398"/>
      <c r="O30" s="399"/>
      <c r="P30" s="126"/>
      <c r="Q30" s="133"/>
      <c r="R30" s="134"/>
      <c r="S30" s="135"/>
      <c r="T30" s="126"/>
      <c r="U30" s="133"/>
      <c r="V30" s="134"/>
      <c r="W30" s="135"/>
      <c r="X30" s="126">
        <v>0</v>
      </c>
      <c r="Y30" s="133">
        <v>14119.791999999999</v>
      </c>
      <c r="Z30" s="134">
        <v>13215.438</v>
      </c>
      <c r="AA30" s="135">
        <f>Y30+Z30</f>
        <v>27335.23</v>
      </c>
      <c r="AB30" s="126">
        <f>X30</f>
        <v>0</v>
      </c>
      <c r="AC30" s="133">
        <v>10649.249</v>
      </c>
      <c r="AD30" s="134">
        <v>9975.0049999999992</v>
      </c>
      <c r="AE30" s="135">
        <f>AC30+AD30</f>
        <v>20624.254000000001</v>
      </c>
      <c r="AF30" s="386"/>
      <c r="AG30" s="397">
        <v>9783.1530000000002</v>
      </c>
      <c r="AH30" s="398">
        <v>9810.25</v>
      </c>
      <c r="AI30" s="399">
        <f>AG30+AH30</f>
        <v>19593.402999999998</v>
      </c>
      <c r="AJ30" s="126">
        <f>AF30</f>
        <v>0</v>
      </c>
      <c r="AK30" s="133"/>
      <c r="AL30" s="134"/>
      <c r="AM30" s="135">
        <f>AK30+AL30</f>
        <v>0</v>
      </c>
      <c r="AN30" s="126">
        <f>AB30</f>
        <v>0</v>
      </c>
      <c r="AO30" s="133"/>
      <c r="AP30" s="134"/>
      <c r="AQ30" s="135"/>
      <c r="AR30" s="126">
        <v>10410.964</v>
      </c>
      <c r="AS30" s="133">
        <v>5041.2420000000002</v>
      </c>
      <c r="AT30" s="134">
        <v>5017.893</v>
      </c>
      <c r="AU30" s="136">
        <f>AS30+AT30</f>
        <v>10059.135</v>
      </c>
      <c r="AV30" s="126">
        <f>AR30</f>
        <v>10410.964</v>
      </c>
      <c r="AW30" s="133">
        <v>4775.1890000000003</v>
      </c>
      <c r="AX30" s="134">
        <v>4518.0069999999996</v>
      </c>
      <c r="AY30" s="136">
        <f>AW30+AX30</f>
        <v>9293.1959999999999</v>
      </c>
      <c r="AZ30" s="386">
        <v>10201.647000000001</v>
      </c>
      <c r="BA30" s="397">
        <v>4685.8600000000006</v>
      </c>
      <c r="BB30" s="398">
        <v>4726.4140000000007</v>
      </c>
      <c r="BC30" s="399">
        <f>BA30+BB30</f>
        <v>9412.2740000000013</v>
      </c>
      <c r="BD30" s="126">
        <f>AZ30</f>
        <v>10201.647000000001</v>
      </c>
      <c r="BE30" s="133"/>
      <c r="BF30" s="134"/>
      <c r="BG30" s="135">
        <f>BE30+BF30</f>
        <v>0</v>
      </c>
      <c r="BH30" s="126">
        <f>AV30</f>
        <v>10410.964</v>
      </c>
      <c r="BI30" s="133"/>
      <c r="BJ30" s="134"/>
      <c r="BK30" s="136"/>
      <c r="BL30" s="126">
        <v>17095.260000000002</v>
      </c>
      <c r="BM30" s="133">
        <v>7540.3109999999997</v>
      </c>
      <c r="BN30" s="134">
        <v>6942.3650000000016</v>
      </c>
      <c r="BO30" s="135">
        <f>BM30+BN30</f>
        <v>14482.676000000001</v>
      </c>
      <c r="BP30" s="126">
        <f>BL30</f>
        <v>17095.260000000002</v>
      </c>
      <c r="BQ30" s="133">
        <v>6729.9260000000004</v>
      </c>
      <c r="BR30" s="134">
        <v>6492.2020000000002</v>
      </c>
      <c r="BS30" s="135">
        <f>BQ30+BR30</f>
        <v>13222.128000000001</v>
      </c>
      <c r="BT30" s="386">
        <v>16930.727999999999</v>
      </c>
      <c r="BU30" s="397">
        <v>6294.933</v>
      </c>
      <c r="BV30" s="398">
        <v>6193.107</v>
      </c>
      <c r="BW30" s="399">
        <f>BU30+BV30</f>
        <v>12488.04</v>
      </c>
      <c r="BX30" s="126">
        <f>BT30</f>
        <v>16930.727999999999</v>
      </c>
      <c r="BY30" s="133"/>
      <c r="BZ30" s="134"/>
      <c r="CA30" s="135">
        <f>BY30+BZ30</f>
        <v>0</v>
      </c>
      <c r="CB30" s="126">
        <f>BP30</f>
        <v>17095.260000000002</v>
      </c>
      <c r="CC30" s="133"/>
      <c r="CD30" s="134"/>
      <c r="CE30" s="135"/>
      <c r="CF30" s="126">
        <v>9756.3290000000015</v>
      </c>
      <c r="CG30" s="133">
        <v>4731.29</v>
      </c>
      <c r="CH30" s="134">
        <v>4161.8789999999999</v>
      </c>
      <c r="CI30" s="135">
        <f>CG30+CH30</f>
        <v>8893.1689999999999</v>
      </c>
      <c r="CJ30" s="126">
        <f>CF65*CJ28</f>
        <v>0</v>
      </c>
      <c r="CK30" s="133">
        <v>2009.14</v>
      </c>
      <c r="CL30" s="134">
        <v>1972.1579999999999</v>
      </c>
      <c r="CM30" s="135">
        <f>CK30+CL30</f>
        <v>3981.2979999999998</v>
      </c>
      <c r="CN30" s="386">
        <v>7867.4690000000001</v>
      </c>
      <c r="CO30" s="397">
        <v>1951.6410000000001</v>
      </c>
      <c r="CP30" s="398">
        <v>2038.89</v>
      </c>
      <c r="CQ30" s="399">
        <f>CO30+CP30</f>
        <v>3990.5309999999999</v>
      </c>
      <c r="CR30" s="126">
        <f>CN30</f>
        <v>7867.4690000000001</v>
      </c>
      <c r="CS30" s="133"/>
      <c r="CT30" s="134"/>
      <c r="CU30" s="135">
        <f>CS30+CT30</f>
        <v>0</v>
      </c>
      <c r="CV30" s="126">
        <f>CJ30</f>
        <v>0</v>
      </c>
      <c r="CW30" s="133"/>
      <c r="CX30" s="134"/>
      <c r="CY30" s="135"/>
      <c r="CZ30" s="126">
        <v>0</v>
      </c>
      <c r="DA30" s="133">
        <v>11127.007</v>
      </c>
      <c r="DB30" s="134">
        <v>11062.044</v>
      </c>
      <c r="DC30" s="172">
        <f>DA30+DB30</f>
        <v>22189.050999999999</v>
      </c>
      <c r="DD30" s="126">
        <f>CZ30</f>
        <v>0</v>
      </c>
      <c r="DE30" s="133">
        <v>10868.12</v>
      </c>
      <c r="DF30" s="134">
        <v>9934.2790000000005</v>
      </c>
      <c r="DG30" s="171">
        <f>DE30+DF30</f>
        <v>20802.399000000001</v>
      </c>
      <c r="DH30" s="386">
        <v>23160.774000000001</v>
      </c>
      <c r="DI30" s="397">
        <v>10109.397000000001</v>
      </c>
      <c r="DJ30" s="398">
        <v>10170.120000000001</v>
      </c>
      <c r="DK30" s="414">
        <f>DI30+DJ30</f>
        <v>20279.517</v>
      </c>
      <c r="DL30" s="126">
        <f>DH30</f>
        <v>23160.774000000001</v>
      </c>
      <c r="DM30" s="133"/>
      <c r="DN30" s="134"/>
      <c r="DO30" s="171">
        <f>DM30+DN30</f>
        <v>0</v>
      </c>
      <c r="DP30" s="126">
        <f>DD30</f>
        <v>0</v>
      </c>
      <c r="DQ30" s="133"/>
      <c r="DR30" s="134"/>
      <c r="DS30" s="136"/>
      <c r="DT30" s="39"/>
    </row>
    <row r="31" spans="1:124" s="25" customFormat="1" ht="14.25" x14ac:dyDescent="0.2">
      <c r="A31" s="29" t="s">
        <v>124</v>
      </c>
      <c r="B31" s="175" t="s">
        <v>125</v>
      </c>
      <c r="C31" s="167" t="s">
        <v>96</v>
      </c>
      <c r="D31" s="168">
        <f t="shared" ref="D31:BP31" si="71">D32+D33</f>
        <v>38104.989000000001</v>
      </c>
      <c r="E31" s="169">
        <f t="shared" si="71"/>
        <v>20044.806</v>
      </c>
      <c r="F31" s="170">
        <f t="shared" si="71"/>
        <v>14578.789000000001</v>
      </c>
      <c r="G31" s="141">
        <f t="shared" si="71"/>
        <v>34623.595000000001</v>
      </c>
      <c r="H31" s="168">
        <f t="shared" si="71"/>
        <v>38104.989000000001</v>
      </c>
      <c r="I31" s="169">
        <f t="shared" si="71"/>
        <v>11736.306999999999</v>
      </c>
      <c r="J31" s="170">
        <f t="shared" si="71"/>
        <v>10379.689</v>
      </c>
      <c r="K31" s="141">
        <f t="shared" si="71"/>
        <v>22115.995999999999</v>
      </c>
      <c r="L31" s="388">
        <v>41460.453000000001</v>
      </c>
      <c r="M31" s="412">
        <f t="shared" ref="M31:O31" si="72">M32+M33</f>
        <v>13618.621999999999</v>
      </c>
      <c r="N31" s="413">
        <f t="shared" si="72"/>
        <v>13403.511</v>
      </c>
      <c r="O31" s="405">
        <f t="shared" si="72"/>
        <v>27022.133000000002</v>
      </c>
      <c r="P31" s="168">
        <f t="shared" ref="P31:S31" si="73">P32+P33</f>
        <v>41460.453000000001</v>
      </c>
      <c r="Q31" s="169">
        <f t="shared" si="73"/>
        <v>0</v>
      </c>
      <c r="R31" s="170">
        <f t="shared" si="73"/>
        <v>0</v>
      </c>
      <c r="S31" s="141">
        <f t="shared" si="73"/>
        <v>0</v>
      </c>
      <c r="T31" s="168">
        <f t="shared" si="71"/>
        <v>38104.989000000001</v>
      </c>
      <c r="U31" s="169">
        <f t="shared" si="71"/>
        <v>0</v>
      </c>
      <c r="V31" s="170">
        <f t="shared" si="71"/>
        <v>0</v>
      </c>
      <c r="W31" s="141">
        <f t="shared" si="71"/>
        <v>0</v>
      </c>
      <c r="X31" s="168">
        <f t="shared" si="71"/>
        <v>3277</v>
      </c>
      <c r="Y31" s="169">
        <f t="shared" si="71"/>
        <v>1224</v>
      </c>
      <c r="Z31" s="170">
        <f t="shared" si="71"/>
        <v>932</v>
      </c>
      <c r="AA31" s="141">
        <f t="shared" si="71"/>
        <v>2156</v>
      </c>
      <c r="AB31" s="168">
        <f t="shared" si="71"/>
        <v>3277</v>
      </c>
      <c r="AC31" s="169">
        <f t="shared" si="71"/>
        <v>1022</v>
      </c>
      <c r="AD31" s="170">
        <f t="shared" si="71"/>
        <v>723</v>
      </c>
      <c r="AE31" s="141">
        <f t="shared" si="71"/>
        <v>1745</v>
      </c>
      <c r="AF31" s="388">
        <v>2888.6669999999999</v>
      </c>
      <c r="AG31" s="412">
        <f t="shared" ref="AG31:AI31" si="74">AG32+AG33</f>
        <v>1090</v>
      </c>
      <c r="AH31" s="413">
        <f t="shared" si="74"/>
        <v>670</v>
      </c>
      <c r="AI31" s="405">
        <f t="shared" si="74"/>
        <v>1760</v>
      </c>
      <c r="AJ31" s="168">
        <f t="shared" ref="AJ31:AM31" si="75">AJ32+AJ33</f>
        <v>3277</v>
      </c>
      <c r="AK31" s="169">
        <f t="shared" si="75"/>
        <v>0</v>
      </c>
      <c r="AL31" s="170">
        <f t="shared" si="75"/>
        <v>0</v>
      </c>
      <c r="AM31" s="141">
        <f t="shared" si="75"/>
        <v>0</v>
      </c>
      <c r="AN31" s="168">
        <f t="shared" si="71"/>
        <v>3277</v>
      </c>
      <c r="AO31" s="169">
        <f>AO32+AO33</f>
        <v>0</v>
      </c>
      <c r="AP31" s="170">
        <f>AP32+AP33</f>
        <v>0</v>
      </c>
      <c r="AQ31" s="141">
        <f>AQ32+AQ33</f>
        <v>0</v>
      </c>
      <c r="AR31" s="168">
        <f t="shared" si="71"/>
        <v>961.33299999999997</v>
      </c>
      <c r="AS31" s="169">
        <f t="shared" si="71"/>
        <v>497</v>
      </c>
      <c r="AT31" s="170">
        <f t="shared" si="71"/>
        <v>300</v>
      </c>
      <c r="AU31" s="142">
        <f t="shared" si="71"/>
        <v>797</v>
      </c>
      <c r="AV31" s="168">
        <f t="shared" si="71"/>
        <v>961.33299999999997</v>
      </c>
      <c r="AW31" s="169">
        <f t="shared" si="71"/>
        <v>218</v>
      </c>
      <c r="AX31" s="170">
        <f t="shared" si="71"/>
        <v>322.029</v>
      </c>
      <c r="AY31" s="142">
        <f t="shared" si="71"/>
        <v>540.029</v>
      </c>
      <c r="AZ31" s="388">
        <f>AZ32+AZ33</f>
        <v>904.66700000000003</v>
      </c>
      <c r="BA31" s="412">
        <f t="shared" ref="BA31:BC31" si="76">BA32+BA33</f>
        <v>252.97300000000001</v>
      </c>
      <c r="BB31" s="413">
        <f t="shared" si="76"/>
        <v>280.51400000000007</v>
      </c>
      <c r="BC31" s="405">
        <f t="shared" si="76"/>
        <v>533.48700000000008</v>
      </c>
      <c r="BD31" s="168">
        <f t="shared" ref="BD31:BG31" si="77">BD32+BD33</f>
        <v>904.66700000000003</v>
      </c>
      <c r="BE31" s="169">
        <f t="shared" si="77"/>
        <v>0</v>
      </c>
      <c r="BF31" s="170">
        <f t="shared" si="77"/>
        <v>0</v>
      </c>
      <c r="BG31" s="141">
        <f t="shared" si="77"/>
        <v>0</v>
      </c>
      <c r="BH31" s="168">
        <f t="shared" si="71"/>
        <v>961.33299999999997</v>
      </c>
      <c r="BI31" s="169">
        <f t="shared" si="71"/>
        <v>0</v>
      </c>
      <c r="BJ31" s="170">
        <f t="shared" si="71"/>
        <v>0</v>
      </c>
      <c r="BK31" s="142">
        <f t="shared" si="71"/>
        <v>0</v>
      </c>
      <c r="BL31" s="168">
        <f t="shared" si="71"/>
        <v>3171</v>
      </c>
      <c r="BM31" s="169">
        <f t="shared" si="71"/>
        <v>1199</v>
      </c>
      <c r="BN31" s="170">
        <f t="shared" si="71"/>
        <v>660</v>
      </c>
      <c r="BO31" s="141">
        <f t="shared" si="71"/>
        <v>1859</v>
      </c>
      <c r="BP31" s="168">
        <f t="shared" si="71"/>
        <v>3171</v>
      </c>
      <c r="BQ31" s="169">
        <f t="shared" ref="BQ31:DS31" si="78">BQ32+BQ33</f>
        <v>466</v>
      </c>
      <c r="BR31" s="170">
        <f t="shared" si="78"/>
        <v>768</v>
      </c>
      <c r="BS31" s="141">
        <f t="shared" si="78"/>
        <v>1234</v>
      </c>
      <c r="BT31" s="388">
        <f t="shared" si="78"/>
        <v>2243.6669999999999</v>
      </c>
      <c r="BU31" s="412">
        <f t="shared" si="78"/>
        <v>611</v>
      </c>
      <c r="BV31" s="413">
        <f t="shared" si="78"/>
        <v>527</v>
      </c>
      <c r="BW31" s="405">
        <f t="shared" si="78"/>
        <v>1138</v>
      </c>
      <c r="BX31" s="168">
        <f t="shared" ref="BX31:CA31" si="79">BX32+BX33</f>
        <v>18.173999999999999</v>
      </c>
      <c r="BY31" s="169">
        <f t="shared" si="79"/>
        <v>0</v>
      </c>
      <c r="BZ31" s="170">
        <f t="shared" si="79"/>
        <v>0</v>
      </c>
      <c r="CA31" s="141">
        <f t="shared" si="79"/>
        <v>0</v>
      </c>
      <c r="CB31" s="168">
        <f t="shared" si="78"/>
        <v>25.684999999999945</v>
      </c>
      <c r="CC31" s="169">
        <f t="shared" si="78"/>
        <v>0</v>
      </c>
      <c r="CD31" s="170">
        <f t="shared" si="78"/>
        <v>0</v>
      </c>
      <c r="CE31" s="141">
        <f t="shared" si="78"/>
        <v>0</v>
      </c>
      <c r="CF31" s="168">
        <f t="shared" si="78"/>
        <v>3028.3330000000001</v>
      </c>
      <c r="CG31" s="169">
        <f t="shared" si="78"/>
        <v>1875</v>
      </c>
      <c r="CH31" s="170">
        <f t="shared" si="78"/>
        <v>2428</v>
      </c>
      <c r="CI31" s="141">
        <f t="shared" si="78"/>
        <v>4303</v>
      </c>
      <c r="CJ31" s="168">
        <f>[2]Омол!$K$28</f>
        <v>3308</v>
      </c>
      <c r="CK31" s="169">
        <f t="shared" si="78"/>
        <v>2328</v>
      </c>
      <c r="CL31" s="170">
        <f t="shared" si="78"/>
        <v>2484</v>
      </c>
      <c r="CM31" s="141">
        <f t="shared" si="78"/>
        <v>4812</v>
      </c>
      <c r="CN31" s="388">
        <f t="shared" si="78"/>
        <v>3805</v>
      </c>
      <c r="CO31" s="412">
        <f t="shared" si="78"/>
        <v>2711</v>
      </c>
      <c r="CP31" s="413">
        <f t="shared" si="78"/>
        <v>3013</v>
      </c>
      <c r="CQ31" s="405">
        <f t="shared" si="78"/>
        <v>5724</v>
      </c>
      <c r="CR31" s="168">
        <f t="shared" ref="CR31:CU31" si="80">CR32+CR33</f>
        <v>29.138999999999999</v>
      </c>
      <c r="CS31" s="169">
        <f t="shared" si="80"/>
        <v>0</v>
      </c>
      <c r="CT31" s="170">
        <f t="shared" si="80"/>
        <v>0</v>
      </c>
      <c r="CU31" s="141">
        <f t="shared" si="80"/>
        <v>0</v>
      </c>
      <c r="CV31" s="168">
        <f t="shared" si="78"/>
        <v>0</v>
      </c>
      <c r="CW31" s="169">
        <f>CW32+CW33</f>
        <v>0</v>
      </c>
      <c r="CX31" s="170">
        <f>CX32+CX33</f>
        <v>0</v>
      </c>
      <c r="CY31" s="141">
        <f>CY32+CY33</f>
        <v>0</v>
      </c>
      <c r="CZ31" s="168">
        <f t="shared" si="78"/>
        <v>1104.9959999999999</v>
      </c>
      <c r="DA31" s="169">
        <f t="shared" si="78"/>
        <v>539</v>
      </c>
      <c r="DB31" s="170">
        <f t="shared" si="78"/>
        <v>518</v>
      </c>
      <c r="DC31" s="142">
        <f t="shared" si="78"/>
        <v>1057</v>
      </c>
      <c r="DD31" s="168">
        <f t="shared" si="78"/>
        <v>1104.9959999999999</v>
      </c>
      <c r="DE31" s="169">
        <f t="shared" si="78"/>
        <v>395</v>
      </c>
      <c r="DF31" s="170">
        <f t="shared" si="78"/>
        <v>652</v>
      </c>
      <c r="DG31" s="141">
        <f t="shared" si="78"/>
        <v>1047</v>
      </c>
      <c r="DH31" s="388">
        <f>DH32+DH33</f>
        <v>1106.6669999999999</v>
      </c>
      <c r="DI31" s="412">
        <f t="shared" ref="DI31:DK31" si="81">DI32+DI33</f>
        <v>572.20000000000005</v>
      </c>
      <c r="DJ31" s="413">
        <f t="shared" si="81"/>
        <v>602.20000000000005</v>
      </c>
      <c r="DK31" s="405">
        <f t="shared" si="81"/>
        <v>1174.4000000000001</v>
      </c>
      <c r="DL31" s="168">
        <f t="shared" ref="DL31:DO31" si="82">DL32+DL33</f>
        <v>1106.6669999999999</v>
      </c>
      <c r="DM31" s="169">
        <f t="shared" si="82"/>
        <v>0</v>
      </c>
      <c r="DN31" s="170">
        <f t="shared" si="82"/>
        <v>0</v>
      </c>
      <c r="DO31" s="141">
        <f t="shared" si="82"/>
        <v>0</v>
      </c>
      <c r="DP31" s="168">
        <f t="shared" si="78"/>
        <v>1104.9959999999999</v>
      </c>
      <c r="DQ31" s="169">
        <f t="shared" si="78"/>
        <v>0</v>
      </c>
      <c r="DR31" s="170">
        <f t="shared" si="78"/>
        <v>0</v>
      </c>
      <c r="DS31" s="142">
        <f t="shared" si="78"/>
        <v>0</v>
      </c>
      <c r="DT31" s="40"/>
    </row>
    <row r="32" spans="1:124" s="20" customFormat="1" ht="15" x14ac:dyDescent="0.2">
      <c r="A32" s="26"/>
      <c r="B32" s="176" t="s">
        <v>120</v>
      </c>
      <c r="C32" s="148" t="s">
        <v>96</v>
      </c>
      <c r="D32" s="149">
        <v>36340.728000000003</v>
      </c>
      <c r="E32" s="150">
        <f>18676.146+401.66</f>
        <v>19077.806</v>
      </c>
      <c r="F32" s="151">
        <f>11868.447+464.342</f>
        <v>12332.789000000001</v>
      </c>
      <c r="G32" s="177">
        <f>E32+F32</f>
        <v>31410.595000000001</v>
      </c>
      <c r="H32" s="126">
        <f>D32</f>
        <v>36340.728000000003</v>
      </c>
      <c r="I32" s="150">
        <v>10892.306999999999</v>
      </c>
      <c r="J32" s="151">
        <v>9533.6890000000003</v>
      </c>
      <c r="K32" s="177">
        <f>I32+J32</f>
        <v>20425.995999999999</v>
      </c>
      <c r="L32" s="386">
        <v>39540.834000000003</v>
      </c>
      <c r="M32" s="407">
        <f>12225.865+558.757</f>
        <v>12784.621999999999</v>
      </c>
      <c r="N32" s="408">
        <f>12026.646+544.865</f>
        <v>12571.511</v>
      </c>
      <c r="O32" s="415">
        <f>M32+N32</f>
        <v>25356.133000000002</v>
      </c>
      <c r="P32" s="126">
        <f>L32</f>
        <v>39540.834000000003</v>
      </c>
      <c r="Q32" s="150"/>
      <c r="R32" s="151"/>
      <c r="S32" s="177">
        <f>Q32+R32</f>
        <v>0</v>
      </c>
      <c r="T32" s="126">
        <f>H32</f>
        <v>36340.728000000003</v>
      </c>
      <c r="U32" s="150"/>
      <c r="V32" s="151"/>
      <c r="W32" s="177"/>
      <c r="X32" s="149">
        <v>2526.239</v>
      </c>
      <c r="Y32" s="150">
        <v>1073</v>
      </c>
      <c r="Z32" s="151">
        <v>781</v>
      </c>
      <c r="AA32" s="177">
        <f>Y32+Z32</f>
        <v>1854</v>
      </c>
      <c r="AB32" s="126">
        <f>X32</f>
        <v>2526.239</v>
      </c>
      <c r="AC32" s="150">
        <v>869</v>
      </c>
      <c r="AD32" s="151">
        <v>669</v>
      </c>
      <c r="AE32" s="177">
        <f>AC32+AD32</f>
        <v>1538</v>
      </c>
      <c r="AF32" s="386">
        <v>2526.239</v>
      </c>
      <c r="AG32" s="407">
        <v>1055</v>
      </c>
      <c r="AH32" s="408">
        <v>634</v>
      </c>
      <c r="AI32" s="415">
        <f>AG32+AH32</f>
        <v>1689</v>
      </c>
      <c r="AJ32" s="126">
        <f>AF32</f>
        <v>2526.239</v>
      </c>
      <c r="AK32" s="150"/>
      <c r="AL32" s="151"/>
      <c r="AM32" s="177">
        <f>AK32+AL32</f>
        <v>0</v>
      </c>
      <c r="AN32" s="126">
        <f>AB32</f>
        <v>2526.239</v>
      </c>
      <c r="AO32" s="150"/>
      <c r="AP32" s="151"/>
      <c r="AQ32" s="177"/>
      <c r="AR32" s="126">
        <v>17.189</v>
      </c>
      <c r="AS32" s="150">
        <v>26</v>
      </c>
      <c r="AT32" s="151">
        <v>158</v>
      </c>
      <c r="AU32" s="178">
        <f>AS32+AT32</f>
        <v>184</v>
      </c>
      <c r="AV32" s="126">
        <f>AR32</f>
        <v>17.189</v>
      </c>
      <c r="AW32" s="150">
        <v>200</v>
      </c>
      <c r="AX32" s="151">
        <v>314.029</v>
      </c>
      <c r="AY32" s="178">
        <f>AW32+AX32</f>
        <v>514.029</v>
      </c>
      <c r="AZ32" s="386">
        <v>16.175790348401648</v>
      </c>
      <c r="BA32" s="407">
        <v>241.97300000000001</v>
      </c>
      <c r="BB32" s="408">
        <v>272.51400000000007</v>
      </c>
      <c r="BC32" s="415">
        <f>BA32+BB32</f>
        <v>514.48700000000008</v>
      </c>
      <c r="BD32" s="126">
        <f>AZ32</f>
        <v>16.175790348401648</v>
      </c>
      <c r="BE32" s="150"/>
      <c r="BF32" s="151"/>
      <c r="BG32" s="177">
        <f>BE32+BF32</f>
        <v>0</v>
      </c>
      <c r="BH32" s="126">
        <f>AV32</f>
        <v>17.189</v>
      </c>
      <c r="BI32" s="150"/>
      <c r="BJ32" s="151"/>
      <c r="BK32" s="178"/>
      <c r="BL32" s="126">
        <v>3145.3150000000001</v>
      </c>
      <c r="BM32" s="150">
        <v>1188</v>
      </c>
      <c r="BN32" s="151">
        <v>652</v>
      </c>
      <c r="BO32" s="177">
        <f>BM32+BN32</f>
        <v>1840</v>
      </c>
      <c r="BP32" s="126">
        <f>BL32</f>
        <v>3145.3150000000001</v>
      </c>
      <c r="BQ32" s="150">
        <v>455</v>
      </c>
      <c r="BR32" s="151">
        <v>760</v>
      </c>
      <c r="BS32" s="177">
        <f>BQ32+BR32</f>
        <v>1215</v>
      </c>
      <c r="BT32" s="386">
        <v>2225.4929999999999</v>
      </c>
      <c r="BU32" s="407">
        <v>600</v>
      </c>
      <c r="BV32" s="408">
        <v>519</v>
      </c>
      <c r="BW32" s="415">
        <f>BU32+BV32</f>
        <v>1119</v>
      </c>
      <c r="BX32" s="126"/>
      <c r="BY32" s="150"/>
      <c r="BZ32" s="151"/>
      <c r="CA32" s="177">
        <f>BY32+BZ32</f>
        <v>0</v>
      </c>
      <c r="CB32" s="126"/>
      <c r="CC32" s="150"/>
      <c r="CD32" s="151"/>
      <c r="CE32" s="177"/>
      <c r="CF32" s="126">
        <v>21.198</v>
      </c>
      <c r="CG32" s="150">
        <v>1861</v>
      </c>
      <c r="CH32" s="151">
        <v>2414</v>
      </c>
      <c r="CI32" s="177">
        <f>CG32+CH32</f>
        <v>4275</v>
      </c>
      <c r="CJ32" s="126">
        <f>CF61*CJ31</f>
        <v>0</v>
      </c>
      <c r="CK32" s="150">
        <v>2314</v>
      </c>
      <c r="CL32" s="151">
        <v>2470</v>
      </c>
      <c r="CM32" s="177">
        <f>CK32+CL32</f>
        <v>4784</v>
      </c>
      <c r="CN32" s="386">
        <v>3775.8609999999999</v>
      </c>
      <c r="CO32" s="407">
        <v>2697</v>
      </c>
      <c r="CP32" s="408">
        <v>2999</v>
      </c>
      <c r="CQ32" s="415">
        <f>CO32+CP32</f>
        <v>5696</v>
      </c>
      <c r="CR32" s="126"/>
      <c r="CS32" s="150"/>
      <c r="CT32" s="151"/>
      <c r="CU32" s="177">
        <f>CS32+CT32</f>
        <v>0</v>
      </c>
      <c r="CV32" s="126"/>
      <c r="CW32" s="150"/>
      <c r="CX32" s="151"/>
      <c r="CY32" s="177"/>
      <c r="CZ32" s="126">
        <v>977.26199999999994</v>
      </c>
      <c r="DA32" s="150">
        <v>478</v>
      </c>
      <c r="DB32" s="151">
        <v>498</v>
      </c>
      <c r="DC32" s="178">
        <f>DA32+DB32</f>
        <v>976</v>
      </c>
      <c r="DD32" s="126">
        <f>CZ32</f>
        <v>977.26199999999994</v>
      </c>
      <c r="DE32" s="150">
        <v>376</v>
      </c>
      <c r="DF32" s="151">
        <v>639</v>
      </c>
      <c r="DG32" s="177">
        <f>DE32+DF32</f>
        <v>1015</v>
      </c>
      <c r="DH32" s="386">
        <v>978.73983774963892</v>
      </c>
      <c r="DI32" s="407">
        <v>558</v>
      </c>
      <c r="DJ32" s="408">
        <v>587</v>
      </c>
      <c r="DK32" s="415">
        <f>DI32+DJ32</f>
        <v>1145</v>
      </c>
      <c r="DL32" s="126">
        <f>DH32</f>
        <v>978.73983774963892</v>
      </c>
      <c r="DM32" s="150"/>
      <c r="DN32" s="151"/>
      <c r="DO32" s="177">
        <f>DM32+DN32</f>
        <v>0</v>
      </c>
      <c r="DP32" s="126">
        <f>DD32</f>
        <v>977.26199999999994</v>
      </c>
      <c r="DQ32" s="150"/>
      <c r="DR32" s="151"/>
      <c r="DS32" s="178"/>
      <c r="DT32" s="39"/>
    </row>
    <row r="33" spans="1:124" s="20" customFormat="1" ht="15" x14ac:dyDescent="0.2">
      <c r="A33" s="23"/>
      <c r="B33" s="179" t="s">
        <v>126</v>
      </c>
      <c r="C33" s="132" t="s">
        <v>96</v>
      </c>
      <c r="D33" s="126">
        <v>1764.2610000000022</v>
      </c>
      <c r="E33" s="133">
        <v>967</v>
      </c>
      <c r="F33" s="134">
        <v>2246</v>
      </c>
      <c r="G33" s="135">
        <f>E33+F33</f>
        <v>3213</v>
      </c>
      <c r="H33" s="126">
        <f>D33</f>
        <v>1764.2610000000022</v>
      </c>
      <c r="I33" s="133">
        <v>844</v>
      </c>
      <c r="J33" s="134">
        <v>846</v>
      </c>
      <c r="K33" s="135">
        <f>I33+J33</f>
        <v>1690</v>
      </c>
      <c r="L33" s="386">
        <v>1919.6189999999988</v>
      </c>
      <c r="M33" s="397">
        <v>834</v>
      </c>
      <c r="N33" s="398">
        <v>832</v>
      </c>
      <c r="O33" s="399">
        <f>M33+N33</f>
        <v>1666</v>
      </c>
      <c r="P33" s="126">
        <f>L33</f>
        <v>1919.6189999999988</v>
      </c>
      <c r="Q33" s="133"/>
      <c r="R33" s="134"/>
      <c r="S33" s="135">
        <f>Q33+R33</f>
        <v>0</v>
      </c>
      <c r="T33" s="126">
        <f>H33</f>
        <v>1764.2610000000022</v>
      </c>
      <c r="U33" s="133"/>
      <c r="V33" s="134"/>
      <c r="W33" s="135"/>
      <c r="X33" s="126">
        <v>750.76099999999997</v>
      </c>
      <c r="Y33" s="133">
        <v>151</v>
      </c>
      <c r="Z33" s="134">
        <v>151</v>
      </c>
      <c r="AA33" s="135">
        <f>Y33+Z33</f>
        <v>302</v>
      </c>
      <c r="AB33" s="126">
        <f>X33</f>
        <v>750.76099999999997</v>
      </c>
      <c r="AC33" s="133">
        <v>153</v>
      </c>
      <c r="AD33" s="134">
        <v>54</v>
      </c>
      <c r="AE33" s="135">
        <f>AC33+AD33</f>
        <v>207</v>
      </c>
      <c r="AF33" s="386">
        <v>750.76099999999997</v>
      </c>
      <c r="AG33" s="397">
        <v>35</v>
      </c>
      <c r="AH33" s="398">
        <v>36</v>
      </c>
      <c r="AI33" s="399">
        <f>AG33+AH33</f>
        <v>71</v>
      </c>
      <c r="AJ33" s="126">
        <f>AF33</f>
        <v>750.76099999999997</v>
      </c>
      <c r="AK33" s="133"/>
      <c r="AL33" s="134"/>
      <c r="AM33" s="135">
        <f>AK33+AL33</f>
        <v>0</v>
      </c>
      <c r="AN33" s="126">
        <f>AB33</f>
        <v>750.76099999999997</v>
      </c>
      <c r="AO33" s="133"/>
      <c r="AP33" s="134"/>
      <c r="AQ33" s="135"/>
      <c r="AR33" s="126">
        <v>944.14400000000001</v>
      </c>
      <c r="AS33" s="133">
        <v>471</v>
      </c>
      <c r="AT33" s="134">
        <v>142</v>
      </c>
      <c r="AU33" s="136">
        <f>AS33+AT33</f>
        <v>613</v>
      </c>
      <c r="AV33" s="126">
        <f>AR33</f>
        <v>944.14400000000001</v>
      </c>
      <c r="AW33" s="133">
        <v>18</v>
      </c>
      <c r="AX33" s="134">
        <v>8</v>
      </c>
      <c r="AY33" s="136">
        <f>AW33+AX33</f>
        <v>26</v>
      </c>
      <c r="AZ33" s="386">
        <v>888.49120965159841</v>
      </c>
      <c r="BA33" s="397">
        <v>11</v>
      </c>
      <c r="BB33" s="398">
        <v>8</v>
      </c>
      <c r="BC33" s="399">
        <f>BA33+BB33</f>
        <v>19</v>
      </c>
      <c r="BD33" s="126">
        <f>AZ33</f>
        <v>888.49120965159841</v>
      </c>
      <c r="BE33" s="133"/>
      <c r="BF33" s="134"/>
      <c r="BG33" s="135">
        <f>BE33+BF33</f>
        <v>0</v>
      </c>
      <c r="BH33" s="126">
        <f>AV33</f>
        <v>944.14400000000001</v>
      </c>
      <c r="BI33" s="133"/>
      <c r="BJ33" s="134"/>
      <c r="BK33" s="136"/>
      <c r="BL33" s="126">
        <v>25.684999999999945</v>
      </c>
      <c r="BM33" s="133">
        <v>11</v>
      </c>
      <c r="BN33" s="134">
        <v>8</v>
      </c>
      <c r="BO33" s="135">
        <f>BM33+BN33</f>
        <v>19</v>
      </c>
      <c r="BP33" s="126">
        <f>BL33</f>
        <v>25.684999999999945</v>
      </c>
      <c r="BQ33" s="133">
        <v>11</v>
      </c>
      <c r="BR33" s="134">
        <v>8</v>
      </c>
      <c r="BS33" s="135">
        <f>BQ33+BR33</f>
        <v>19</v>
      </c>
      <c r="BT33" s="386">
        <v>18.173999999999999</v>
      </c>
      <c r="BU33" s="397">
        <v>11</v>
      </c>
      <c r="BV33" s="398">
        <v>8</v>
      </c>
      <c r="BW33" s="399">
        <f>BU33+BV33</f>
        <v>19</v>
      </c>
      <c r="BX33" s="126">
        <f>BT33</f>
        <v>18.173999999999999</v>
      </c>
      <c r="BY33" s="133"/>
      <c r="BZ33" s="134"/>
      <c r="CA33" s="135">
        <f>BY33+BZ33</f>
        <v>0</v>
      </c>
      <c r="CB33" s="126">
        <f>BP33</f>
        <v>25.684999999999945</v>
      </c>
      <c r="CC33" s="133"/>
      <c r="CD33" s="134"/>
      <c r="CE33" s="135"/>
      <c r="CF33" s="126">
        <v>3007.1350000000002</v>
      </c>
      <c r="CG33" s="133">
        <v>14</v>
      </c>
      <c r="CH33" s="134">
        <v>14</v>
      </c>
      <c r="CI33" s="135">
        <f>CG33+CH33</f>
        <v>28</v>
      </c>
      <c r="CJ33" s="126">
        <f>CF62*CJ31</f>
        <v>0</v>
      </c>
      <c r="CK33" s="133">
        <v>14</v>
      </c>
      <c r="CL33" s="134">
        <v>14</v>
      </c>
      <c r="CM33" s="135">
        <f>CK33+CL33</f>
        <v>28</v>
      </c>
      <c r="CN33" s="386">
        <v>29.138999999999999</v>
      </c>
      <c r="CO33" s="397">
        <v>14</v>
      </c>
      <c r="CP33" s="398">
        <v>14</v>
      </c>
      <c r="CQ33" s="399">
        <f>CO33+CP33</f>
        <v>28</v>
      </c>
      <c r="CR33" s="126">
        <f>CN33</f>
        <v>29.138999999999999</v>
      </c>
      <c r="CS33" s="133"/>
      <c r="CT33" s="134"/>
      <c r="CU33" s="135">
        <f>CS33+CT33</f>
        <v>0</v>
      </c>
      <c r="CV33" s="126">
        <f>CJ33</f>
        <v>0</v>
      </c>
      <c r="CW33" s="133"/>
      <c r="CX33" s="134"/>
      <c r="CY33" s="135"/>
      <c r="CZ33" s="126">
        <v>127.73400000000001</v>
      </c>
      <c r="DA33" s="133">
        <v>61</v>
      </c>
      <c r="DB33" s="134">
        <v>20</v>
      </c>
      <c r="DC33" s="136">
        <f>DA33+DB33</f>
        <v>81</v>
      </c>
      <c r="DD33" s="126">
        <f>CZ33</f>
        <v>127.73400000000001</v>
      </c>
      <c r="DE33" s="133">
        <v>19</v>
      </c>
      <c r="DF33" s="134">
        <v>13</v>
      </c>
      <c r="DG33" s="135">
        <f>DE33+DF33</f>
        <v>32</v>
      </c>
      <c r="DH33" s="386">
        <v>127.92716225036111</v>
      </c>
      <c r="DI33" s="397">
        <v>14.2</v>
      </c>
      <c r="DJ33" s="398">
        <v>15.199999999999996</v>
      </c>
      <c r="DK33" s="399">
        <f>DI33+DJ33</f>
        <v>29.399999999999995</v>
      </c>
      <c r="DL33" s="126">
        <f>DH33</f>
        <v>127.92716225036111</v>
      </c>
      <c r="DM33" s="133"/>
      <c r="DN33" s="134"/>
      <c r="DO33" s="135">
        <f>DM33+DN33</f>
        <v>0</v>
      </c>
      <c r="DP33" s="126">
        <f>DD33</f>
        <v>127.73400000000001</v>
      </c>
      <c r="DQ33" s="133"/>
      <c r="DR33" s="134"/>
      <c r="DS33" s="136"/>
      <c r="DT33" s="39"/>
    </row>
    <row r="34" spans="1:124" s="25" customFormat="1" ht="14.25" x14ac:dyDescent="0.2">
      <c r="A34" s="30" t="s">
        <v>127</v>
      </c>
      <c r="B34" s="180" t="s">
        <v>0</v>
      </c>
      <c r="C34" s="153" t="s">
        <v>96</v>
      </c>
      <c r="D34" s="154">
        <f t="shared" ref="D34:BP34" si="83">D35+D36</f>
        <v>37812.278000000006</v>
      </c>
      <c r="E34" s="155">
        <f t="shared" si="83"/>
        <v>14621.209000000001</v>
      </c>
      <c r="F34" s="156">
        <f t="shared" si="83"/>
        <v>15266.434999999999</v>
      </c>
      <c r="G34" s="181">
        <f t="shared" si="83"/>
        <v>29887.644</v>
      </c>
      <c r="H34" s="154">
        <f t="shared" si="83"/>
        <v>37812.278000000006</v>
      </c>
      <c r="I34" s="155">
        <f t="shared" si="83"/>
        <v>17278.376</v>
      </c>
      <c r="J34" s="156">
        <f>J35+J36</f>
        <v>20474.909</v>
      </c>
      <c r="K34" s="181">
        <f t="shared" si="83"/>
        <v>37753.285000000003</v>
      </c>
      <c r="L34" s="389">
        <v>31952.978999999999</v>
      </c>
      <c r="M34" s="409">
        <f t="shared" ref="M34:O34" si="84">M35+M36</f>
        <v>22921.607</v>
      </c>
      <c r="N34" s="410">
        <f t="shared" si="84"/>
        <v>27223.476999999999</v>
      </c>
      <c r="O34" s="416">
        <f t="shared" si="84"/>
        <v>50145.084000000003</v>
      </c>
      <c r="P34" s="154">
        <f t="shared" ref="P34:S34" si="85">P35+P36</f>
        <v>380.23999999999796</v>
      </c>
      <c r="Q34" s="155">
        <f t="shared" si="85"/>
        <v>0</v>
      </c>
      <c r="R34" s="156">
        <f t="shared" si="85"/>
        <v>0</v>
      </c>
      <c r="S34" s="181">
        <f t="shared" si="85"/>
        <v>0</v>
      </c>
      <c r="T34" s="154">
        <f t="shared" si="83"/>
        <v>449.96599999999671</v>
      </c>
      <c r="U34" s="155">
        <f t="shared" si="83"/>
        <v>0</v>
      </c>
      <c r="V34" s="156">
        <f>V35+V36</f>
        <v>0</v>
      </c>
      <c r="W34" s="181">
        <f t="shared" si="83"/>
        <v>0</v>
      </c>
      <c r="X34" s="154">
        <f t="shared" si="83"/>
        <v>333.33299999999997</v>
      </c>
      <c r="Y34" s="155">
        <f t="shared" si="83"/>
        <v>164</v>
      </c>
      <c r="Z34" s="156">
        <f t="shared" si="83"/>
        <v>162</v>
      </c>
      <c r="AA34" s="181">
        <f t="shared" si="83"/>
        <v>326</v>
      </c>
      <c r="AB34" s="154">
        <f t="shared" si="83"/>
        <v>333.33299999999997</v>
      </c>
      <c r="AC34" s="155">
        <f t="shared" si="83"/>
        <v>164</v>
      </c>
      <c r="AD34" s="156">
        <f t="shared" si="83"/>
        <v>162</v>
      </c>
      <c r="AE34" s="181">
        <f t="shared" si="83"/>
        <v>326</v>
      </c>
      <c r="AF34" s="389">
        <v>326</v>
      </c>
      <c r="AG34" s="409">
        <f t="shared" ref="AG34:AI34" si="86">AG35+AG36</f>
        <v>164</v>
      </c>
      <c r="AH34" s="410">
        <f t="shared" si="86"/>
        <v>162</v>
      </c>
      <c r="AI34" s="416">
        <f t="shared" si="86"/>
        <v>326</v>
      </c>
      <c r="AJ34" s="154">
        <f t="shared" ref="AJ34:AM34" si="87">AJ35+AJ36</f>
        <v>333.33299999999997</v>
      </c>
      <c r="AK34" s="155">
        <f t="shared" si="87"/>
        <v>0</v>
      </c>
      <c r="AL34" s="156">
        <f t="shared" si="87"/>
        <v>0</v>
      </c>
      <c r="AM34" s="181">
        <f t="shared" si="87"/>
        <v>0</v>
      </c>
      <c r="AN34" s="154">
        <f t="shared" si="83"/>
        <v>333.33299999999997</v>
      </c>
      <c r="AO34" s="155">
        <f>AO35+AO36</f>
        <v>0</v>
      </c>
      <c r="AP34" s="156">
        <f>AP35+AP36</f>
        <v>0</v>
      </c>
      <c r="AQ34" s="181">
        <f>AQ35+AQ36</f>
        <v>0</v>
      </c>
      <c r="AR34" s="154">
        <f t="shared" si="83"/>
        <v>83.667000000000002</v>
      </c>
      <c r="AS34" s="155">
        <f t="shared" si="83"/>
        <v>40</v>
      </c>
      <c r="AT34" s="156">
        <f t="shared" si="83"/>
        <v>38</v>
      </c>
      <c r="AU34" s="182">
        <f t="shared" si="83"/>
        <v>78</v>
      </c>
      <c r="AV34" s="154">
        <f t="shared" si="83"/>
        <v>83.667000000000002</v>
      </c>
      <c r="AW34" s="155">
        <f t="shared" si="83"/>
        <v>41</v>
      </c>
      <c r="AX34" s="156">
        <f t="shared" si="83"/>
        <v>42.8</v>
      </c>
      <c r="AY34" s="182">
        <f t="shared" si="83"/>
        <v>83.8</v>
      </c>
      <c r="AZ34" s="389">
        <f>AZ35+AZ36</f>
        <v>106.333</v>
      </c>
      <c r="BA34" s="409">
        <f t="shared" ref="BA34:BC34" si="88">BA35+BA36</f>
        <v>40.24</v>
      </c>
      <c r="BB34" s="410">
        <f t="shared" si="88"/>
        <v>38.655999999999999</v>
      </c>
      <c r="BC34" s="416">
        <f t="shared" si="88"/>
        <v>78.896000000000001</v>
      </c>
      <c r="BD34" s="154">
        <f t="shared" ref="BD34:BG34" si="89">BD35+BD36</f>
        <v>106.333</v>
      </c>
      <c r="BE34" s="155">
        <f t="shared" si="89"/>
        <v>0</v>
      </c>
      <c r="BF34" s="156">
        <f t="shared" si="89"/>
        <v>0</v>
      </c>
      <c r="BG34" s="181">
        <f t="shared" si="89"/>
        <v>0</v>
      </c>
      <c r="BH34" s="154">
        <f t="shared" si="83"/>
        <v>83.667000000000002</v>
      </c>
      <c r="BI34" s="155">
        <f t="shared" si="83"/>
        <v>0</v>
      </c>
      <c r="BJ34" s="156">
        <f>BJ35+BJ36</f>
        <v>0</v>
      </c>
      <c r="BK34" s="182">
        <f>BK35+BK36</f>
        <v>0</v>
      </c>
      <c r="BL34" s="154">
        <f t="shared" si="83"/>
        <v>794.30199999999991</v>
      </c>
      <c r="BM34" s="155">
        <f t="shared" si="83"/>
        <v>582.5</v>
      </c>
      <c r="BN34" s="156">
        <f t="shared" si="83"/>
        <v>403</v>
      </c>
      <c r="BO34" s="181">
        <f t="shared" si="83"/>
        <v>985.5</v>
      </c>
      <c r="BP34" s="154">
        <f t="shared" si="83"/>
        <v>794.30199999999991</v>
      </c>
      <c r="BQ34" s="155">
        <f t="shared" ref="BQ34:CV34" si="90">BQ35+BQ36</f>
        <v>380</v>
      </c>
      <c r="BR34" s="156">
        <f t="shared" si="90"/>
        <v>399.5</v>
      </c>
      <c r="BS34" s="181">
        <f t="shared" si="90"/>
        <v>779.5</v>
      </c>
      <c r="BT34" s="389">
        <f>BT35+BT36</f>
        <v>1248.9330000000002</v>
      </c>
      <c r="BU34" s="409">
        <f t="shared" ref="BU34:BW34" si="91">BU35+BU36</f>
        <v>328.5</v>
      </c>
      <c r="BV34" s="410">
        <f t="shared" si="91"/>
        <v>404.5</v>
      </c>
      <c r="BW34" s="416">
        <f t="shared" si="91"/>
        <v>733</v>
      </c>
      <c r="BX34" s="154">
        <f t="shared" si="90"/>
        <v>1248.9330000000002</v>
      </c>
      <c r="BY34" s="155">
        <f t="shared" si="90"/>
        <v>0</v>
      </c>
      <c r="BZ34" s="156">
        <f t="shared" si="90"/>
        <v>0</v>
      </c>
      <c r="CA34" s="181">
        <f t="shared" si="90"/>
        <v>0</v>
      </c>
      <c r="CB34" s="154">
        <f t="shared" si="90"/>
        <v>794.30199999999991</v>
      </c>
      <c r="CC34" s="155">
        <f t="shared" si="90"/>
        <v>0</v>
      </c>
      <c r="CD34" s="156">
        <f t="shared" si="90"/>
        <v>0</v>
      </c>
      <c r="CE34" s="181">
        <f t="shared" si="90"/>
        <v>0</v>
      </c>
      <c r="CF34" s="154">
        <f t="shared" si="90"/>
        <v>274.33299999999997</v>
      </c>
      <c r="CG34" s="155">
        <f t="shared" si="90"/>
        <v>122</v>
      </c>
      <c r="CH34" s="156">
        <f t="shared" si="90"/>
        <v>239</v>
      </c>
      <c r="CI34" s="181">
        <f t="shared" si="90"/>
        <v>361</v>
      </c>
      <c r="CJ34" s="154">
        <f>[2]Омол!$K$29</f>
        <v>284.66699999999997</v>
      </c>
      <c r="CK34" s="155">
        <f t="shared" si="90"/>
        <v>270</v>
      </c>
      <c r="CL34" s="156">
        <f t="shared" si="90"/>
        <v>698</v>
      </c>
      <c r="CM34" s="181">
        <f t="shared" si="90"/>
        <v>968</v>
      </c>
      <c r="CN34" s="389">
        <f t="shared" si="90"/>
        <v>312</v>
      </c>
      <c r="CO34" s="409">
        <f t="shared" si="90"/>
        <v>367</v>
      </c>
      <c r="CP34" s="410">
        <f t="shared" si="90"/>
        <v>138</v>
      </c>
      <c r="CQ34" s="416">
        <f t="shared" si="90"/>
        <v>505</v>
      </c>
      <c r="CR34" s="154">
        <f t="shared" si="90"/>
        <v>312</v>
      </c>
      <c r="CS34" s="155">
        <f t="shared" si="90"/>
        <v>0</v>
      </c>
      <c r="CT34" s="156">
        <f t="shared" si="90"/>
        <v>0</v>
      </c>
      <c r="CU34" s="181">
        <f t="shared" si="90"/>
        <v>0</v>
      </c>
      <c r="CV34" s="154">
        <f t="shared" si="90"/>
        <v>0</v>
      </c>
      <c r="CW34" s="155">
        <f t="shared" ref="CW34:DS34" si="92">CW35+CW36</f>
        <v>0</v>
      </c>
      <c r="CX34" s="156">
        <f t="shared" si="92"/>
        <v>0</v>
      </c>
      <c r="CY34" s="181">
        <f t="shared" si="92"/>
        <v>0</v>
      </c>
      <c r="CZ34" s="154">
        <f t="shared" si="92"/>
        <v>213</v>
      </c>
      <c r="DA34" s="155">
        <f t="shared" si="92"/>
        <v>153</v>
      </c>
      <c r="DB34" s="156">
        <f t="shared" si="92"/>
        <v>106</v>
      </c>
      <c r="DC34" s="182">
        <f t="shared" si="92"/>
        <v>259</v>
      </c>
      <c r="DD34" s="154">
        <f t="shared" si="92"/>
        <v>213</v>
      </c>
      <c r="DE34" s="155">
        <f t="shared" si="92"/>
        <v>55</v>
      </c>
      <c r="DF34" s="156">
        <f t="shared" si="92"/>
        <v>53</v>
      </c>
      <c r="DG34" s="181">
        <f t="shared" si="92"/>
        <v>108</v>
      </c>
      <c r="DH34" s="389">
        <f>DH35+DH36</f>
        <v>229.333</v>
      </c>
      <c r="DI34" s="409">
        <f t="shared" ref="DI34:DK34" si="93">DI35+DI36</f>
        <v>54</v>
      </c>
      <c r="DJ34" s="410">
        <f t="shared" si="93"/>
        <v>193</v>
      </c>
      <c r="DK34" s="416">
        <f t="shared" si="93"/>
        <v>247</v>
      </c>
      <c r="DL34" s="154">
        <f t="shared" si="92"/>
        <v>229.333</v>
      </c>
      <c r="DM34" s="155">
        <f t="shared" si="92"/>
        <v>0</v>
      </c>
      <c r="DN34" s="156">
        <f t="shared" si="92"/>
        <v>0</v>
      </c>
      <c r="DO34" s="181">
        <f t="shared" si="92"/>
        <v>0</v>
      </c>
      <c r="DP34" s="154">
        <f t="shared" si="92"/>
        <v>213</v>
      </c>
      <c r="DQ34" s="155">
        <f t="shared" si="92"/>
        <v>0</v>
      </c>
      <c r="DR34" s="156">
        <f t="shared" si="92"/>
        <v>0</v>
      </c>
      <c r="DS34" s="182">
        <f t="shared" si="92"/>
        <v>0</v>
      </c>
      <c r="DT34" s="40"/>
    </row>
    <row r="35" spans="1:124" s="20" customFormat="1" ht="15" x14ac:dyDescent="0.2">
      <c r="A35" s="23"/>
      <c r="B35" s="131" t="s">
        <v>120</v>
      </c>
      <c r="C35" s="132" t="s">
        <v>96</v>
      </c>
      <c r="D35" s="126">
        <v>37362.312000000005</v>
      </c>
      <c r="E35" s="133">
        <f>11674.753-401.66</f>
        <v>11273.093000000001</v>
      </c>
      <c r="F35" s="134">
        <f>11837.015-464.342</f>
        <v>11372.672999999999</v>
      </c>
      <c r="G35" s="171">
        <f>E35+F35</f>
        <v>22645.766</v>
      </c>
      <c r="H35" s="126">
        <f>D35</f>
        <v>37362.312000000005</v>
      </c>
      <c r="I35" s="133">
        <v>16783.376</v>
      </c>
      <c r="J35" s="134">
        <v>19205.909</v>
      </c>
      <c r="K35" s="171">
        <f>I35+J35</f>
        <v>35989.285000000003</v>
      </c>
      <c r="L35" s="386">
        <v>31572.739000000001</v>
      </c>
      <c r="M35" s="397">
        <f>15568.753+6686.854</f>
        <v>22255.607</v>
      </c>
      <c r="N35" s="398">
        <f>17278.449+9327.028+4</f>
        <v>26609.476999999999</v>
      </c>
      <c r="O35" s="414">
        <f>M35+N35</f>
        <v>48865.084000000003</v>
      </c>
      <c r="P35" s="126"/>
      <c r="Q35" s="133"/>
      <c r="R35" s="134"/>
      <c r="S35" s="171">
        <f>Q35+R35</f>
        <v>0</v>
      </c>
      <c r="T35" s="126"/>
      <c r="U35" s="133"/>
      <c r="V35" s="134"/>
      <c r="W35" s="171"/>
      <c r="X35" s="126">
        <v>0</v>
      </c>
      <c r="Y35" s="133"/>
      <c r="Z35" s="134"/>
      <c r="AA35" s="171">
        <f>Y35+Z35</f>
        <v>0</v>
      </c>
      <c r="AB35" s="126"/>
      <c r="AC35" s="133">
        <v>0</v>
      </c>
      <c r="AD35" s="134">
        <v>0</v>
      </c>
      <c r="AE35" s="136">
        <f>AC35+AD35</f>
        <v>0</v>
      </c>
      <c r="AF35" s="386"/>
      <c r="AG35" s="397">
        <v>0</v>
      </c>
      <c r="AH35" s="398">
        <v>0</v>
      </c>
      <c r="AI35" s="417">
        <f>AG35+AH35</f>
        <v>0</v>
      </c>
      <c r="AJ35" s="126"/>
      <c r="AK35" s="133">
        <v>0</v>
      </c>
      <c r="AL35" s="134">
        <v>0</v>
      </c>
      <c r="AM35" s="136">
        <f>AK35+AL35</f>
        <v>0</v>
      </c>
      <c r="AN35" s="126"/>
      <c r="AO35" s="133"/>
      <c r="AP35" s="134"/>
      <c r="AQ35" s="171"/>
      <c r="AR35" s="126">
        <v>7.8729999999999993</v>
      </c>
      <c r="AS35" s="133">
        <v>2</v>
      </c>
      <c r="AT35" s="134">
        <v>1</v>
      </c>
      <c r="AU35" s="172">
        <f>AS35+AT35</f>
        <v>3</v>
      </c>
      <c r="AV35" s="126">
        <f>AR35</f>
        <v>7.8729999999999993</v>
      </c>
      <c r="AW35" s="133">
        <v>3</v>
      </c>
      <c r="AX35" s="134">
        <v>5.8</v>
      </c>
      <c r="AY35" s="172">
        <f>AW35+AX35</f>
        <v>8.8000000000000007</v>
      </c>
      <c r="AZ35" s="386">
        <v>10.005853072298516</v>
      </c>
      <c r="BA35" s="397">
        <v>2.2399999999999998</v>
      </c>
      <c r="BB35" s="398">
        <v>1.6560000000000006</v>
      </c>
      <c r="BC35" s="414">
        <f>BA35+BB35</f>
        <v>3.8960000000000004</v>
      </c>
      <c r="BD35" s="126">
        <f>AZ35</f>
        <v>10.005853072298516</v>
      </c>
      <c r="BE35" s="133"/>
      <c r="BF35" s="134"/>
      <c r="BG35" s="171">
        <f>BE35+BF35</f>
        <v>0</v>
      </c>
      <c r="BH35" s="126">
        <f>AV35</f>
        <v>7.8729999999999993</v>
      </c>
      <c r="BI35" s="133"/>
      <c r="BJ35" s="134"/>
      <c r="BK35" s="172"/>
      <c r="BL35" s="126">
        <v>663.24299999999994</v>
      </c>
      <c r="BM35" s="133">
        <v>527</v>
      </c>
      <c r="BN35" s="134">
        <v>349.5</v>
      </c>
      <c r="BO35" s="171">
        <f>BM35+BN35</f>
        <v>876.5</v>
      </c>
      <c r="BP35" s="126">
        <f>BL35</f>
        <v>663.24299999999994</v>
      </c>
      <c r="BQ35" s="133">
        <v>349.5</v>
      </c>
      <c r="BR35" s="134">
        <v>370</v>
      </c>
      <c r="BS35" s="171">
        <f>BQ35+BR35</f>
        <v>719.5</v>
      </c>
      <c r="BT35" s="386">
        <v>1042.860360063301</v>
      </c>
      <c r="BU35" s="397">
        <f>30.5+11</f>
        <v>41.5</v>
      </c>
      <c r="BV35" s="398">
        <f>29.5+17</f>
        <v>46.5</v>
      </c>
      <c r="BW35" s="414">
        <f>BU35+BV35</f>
        <v>88</v>
      </c>
      <c r="BX35" s="126">
        <f>BT35</f>
        <v>1042.860360063301</v>
      </c>
      <c r="BY35" s="133"/>
      <c r="BZ35" s="134"/>
      <c r="CA35" s="171">
        <f>BY35+BZ35</f>
        <v>0</v>
      </c>
      <c r="CB35" s="126">
        <f>BL35</f>
        <v>663.24299999999994</v>
      </c>
      <c r="CC35" s="133"/>
      <c r="CD35" s="134"/>
      <c r="CE35" s="171"/>
      <c r="CF35" s="126">
        <v>38.078000000000003</v>
      </c>
      <c r="CG35" s="133">
        <v>98</v>
      </c>
      <c r="CH35" s="134">
        <v>200</v>
      </c>
      <c r="CI35" s="171">
        <f>CG35+CH35</f>
        <v>298</v>
      </c>
      <c r="CJ35" s="126">
        <f>CJ34*CF57</f>
        <v>0</v>
      </c>
      <c r="CK35" s="133">
        <v>270</v>
      </c>
      <c r="CL35" s="134">
        <v>698</v>
      </c>
      <c r="CM35" s="171">
        <f>CK35+CL35</f>
        <v>968</v>
      </c>
      <c r="CN35" s="386"/>
      <c r="CO35" s="397">
        <f>335+32</f>
        <v>367</v>
      </c>
      <c r="CP35" s="398">
        <f>101+37</f>
        <v>138</v>
      </c>
      <c r="CQ35" s="414">
        <f>CO35+CP35</f>
        <v>505</v>
      </c>
      <c r="CR35" s="126"/>
      <c r="CS35" s="133"/>
      <c r="CT35" s="134"/>
      <c r="CU35" s="171">
        <f>CS35+CT35</f>
        <v>0</v>
      </c>
      <c r="CV35" s="126"/>
      <c r="CW35" s="133"/>
      <c r="CX35" s="134"/>
      <c r="CY35" s="171"/>
      <c r="CZ35" s="126">
        <v>96.914999999999992</v>
      </c>
      <c r="DA35" s="133">
        <v>96</v>
      </c>
      <c r="DB35" s="134">
        <v>89</v>
      </c>
      <c r="DC35" s="172">
        <f>DA35+DB35</f>
        <v>185</v>
      </c>
      <c r="DD35" s="126">
        <f>CZ35</f>
        <v>96.914999999999992</v>
      </c>
      <c r="DE35" s="133">
        <v>48</v>
      </c>
      <c r="DF35" s="134">
        <v>40</v>
      </c>
      <c r="DG35" s="171">
        <f>DE35+DF35</f>
        <v>88</v>
      </c>
      <c r="DH35" s="386">
        <v>104.346515</v>
      </c>
      <c r="DI35" s="397">
        <v>41</v>
      </c>
      <c r="DJ35" s="398">
        <f>32+147</f>
        <v>179</v>
      </c>
      <c r="DK35" s="414">
        <f>DI35+DJ35</f>
        <v>220</v>
      </c>
      <c r="DL35" s="126">
        <f>DH35</f>
        <v>104.346515</v>
      </c>
      <c r="DM35" s="133"/>
      <c r="DN35" s="134"/>
      <c r="DO35" s="171">
        <f>DM35+DN35</f>
        <v>0</v>
      </c>
      <c r="DP35" s="126">
        <f>CZ35</f>
        <v>96.914999999999992</v>
      </c>
      <c r="DQ35" s="133"/>
      <c r="DR35" s="134"/>
      <c r="DS35" s="172"/>
      <c r="DT35" s="39"/>
    </row>
    <row r="36" spans="1:124" s="20" customFormat="1" ht="15" x14ac:dyDescent="0.2">
      <c r="A36" s="31"/>
      <c r="B36" s="183" t="s">
        <v>128</v>
      </c>
      <c r="C36" s="184" t="s">
        <v>96</v>
      </c>
      <c r="D36" s="185">
        <v>449.96599999999671</v>
      </c>
      <c r="E36" s="187">
        <v>3348.116</v>
      </c>
      <c r="F36" s="188">
        <v>3893.7620000000006</v>
      </c>
      <c r="G36" s="189">
        <f>E36+F36</f>
        <v>7241.8780000000006</v>
      </c>
      <c r="H36" s="186">
        <f>D36</f>
        <v>449.96599999999671</v>
      </c>
      <c r="I36" s="187">
        <v>495</v>
      </c>
      <c r="J36" s="188">
        <v>1269</v>
      </c>
      <c r="K36" s="189">
        <f>I36+J36</f>
        <v>1764</v>
      </c>
      <c r="L36" s="390">
        <v>380.23999999999796</v>
      </c>
      <c r="M36" s="400">
        <v>666</v>
      </c>
      <c r="N36" s="401">
        <v>614</v>
      </c>
      <c r="O36" s="402">
        <f>M36+N36</f>
        <v>1280</v>
      </c>
      <c r="P36" s="186">
        <f>L36</f>
        <v>380.23999999999796</v>
      </c>
      <c r="Q36" s="187"/>
      <c r="R36" s="188"/>
      <c r="S36" s="189">
        <f>Q36+R36</f>
        <v>0</v>
      </c>
      <c r="T36" s="186">
        <f>H36</f>
        <v>449.96599999999671</v>
      </c>
      <c r="U36" s="187"/>
      <c r="V36" s="188"/>
      <c r="W36" s="189"/>
      <c r="X36" s="185">
        <v>333.33299999999997</v>
      </c>
      <c r="Y36" s="187">
        <v>164</v>
      </c>
      <c r="Z36" s="188">
        <v>162</v>
      </c>
      <c r="AA36" s="189">
        <f>Y36+Z36</f>
        <v>326</v>
      </c>
      <c r="AB36" s="186">
        <f>X36</f>
        <v>333.33299999999997</v>
      </c>
      <c r="AC36" s="190">
        <v>164</v>
      </c>
      <c r="AD36" s="191">
        <v>162</v>
      </c>
      <c r="AE36" s="192">
        <f>AC36+AD36</f>
        <v>326</v>
      </c>
      <c r="AF36" s="390">
        <v>333.33299999999997</v>
      </c>
      <c r="AG36" s="418">
        <v>164</v>
      </c>
      <c r="AH36" s="419">
        <v>162</v>
      </c>
      <c r="AI36" s="420">
        <f>AG36+AH36</f>
        <v>326</v>
      </c>
      <c r="AJ36" s="186">
        <f>AF36</f>
        <v>333.33299999999997</v>
      </c>
      <c r="AK36" s="190"/>
      <c r="AL36" s="191"/>
      <c r="AM36" s="192">
        <f>AK36+AL36</f>
        <v>0</v>
      </c>
      <c r="AN36" s="186">
        <f>AB36</f>
        <v>333.33299999999997</v>
      </c>
      <c r="AO36" s="187"/>
      <c r="AP36" s="188"/>
      <c r="AQ36" s="189"/>
      <c r="AR36" s="186">
        <v>75.793999999999997</v>
      </c>
      <c r="AS36" s="187">
        <v>38</v>
      </c>
      <c r="AT36" s="188">
        <v>37</v>
      </c>
      <c r="AU36" s="189">
        <f>AS36+AT36</f>
        <v>75</v>
      </c>
      <c r="AV36" s="186">
        <f>AR36</f>
        <v>75.793999999999997</v>
      </c>
      <c r="AW36" s="187">
        <v>38</v>
      </c>
      <c r="AX36" s="188">
        <v>37</v>
      </c>
      <c r="AY36" s="193">
        <f>AW36+AX36</f>
        <v>75</v>
      </c>
      <c r="AZ36" s="390">
        <v>96.327146927701477</v>
      </c>
      <c r="BA36" s="400">
        <v>38</v>
      </c>
      <c r="BB36" s="401">
        <v>37</v>
      </c>
      <c r="BC36" s="402">
        <f>BA36+BB36</f>
        <v>75</v>
      </c>
      <c r="BD36" s="186">
        <f>AZ36</f>
        <v>96.327146927701477</v>
      </c>
      <c r="BE36" s="187"/>
      <c r="BF36" s="188"/>
      <c r="BG36" s="189">
        <f>BE36+BF36</f>
        <v>0</v>
      </c>
      <c r="BH36" s="186">
        <f>AV36</f>
        <v>75.793999999999997</v>
      </c>
      <c r="BI36" s="187"/>
      <c r="BJ36" s="188"/>
      <c r="BK36" s="193"/>
      <c r="BL36" s="186">
        <v>131.05900000000003</v>
      </c>
      <c r="BM36" s="187">
        <v>55.5</v>
      </c>
      <c r="BN36" s="188">
        <v>53.5</v>
      </c>
      <c r="BO36" s="189">
        <f>BM36+BN36</f>
        <v>109</v>
      </c>
      <c r="BP36" s="186">
        <f>BL36</f>
        <v>131.05900000000003</v>
      </c>
      <c r="BQ36" s="187">
        <v>30.5</v>
      </c>
      <c r="BR36" s="188">
        <v>29.5</v>
      </c>
      <c r="BS36" s="189">
        <f>BQ36+BR36</f>
        <v>60</v>
      </c>
      <c r="BT36" s="390">
        <v>206.0726399366992</v>
      </c>
      <c r="BU36" s="400">
        <v>287</v>
      </c>
      <c r="BV36" s="401">
        <v>358</v>
      </c>
      <c r="BW36" s="402">
        <f>BU36+BV36</f>
        <v>645</v>
      </c>
      <c r="BX36" s="186">
        <f>BT36</f>
        <v>206.0726399366992</v>
      </c>
      <c r="BY36" s="187"/>
      <c r="BZ36" s="188"/>
      <c r="CA36" s="189">
        <f>BY36+BZ36</f>
        <v>0</v>
      </c>
      <c r="CB36" s="186">
        <f>BP36</f>
        <v>131.05900000000003</v>
      </c>
      <c r="CC36" s="187"/>
      <c r="CD36" s="188"/>
      <c r="CE36" s="189"/>
      <c r="CF36" s="186">
        <v>236.255</v>
      </c>
      <c r="CG36" s="187">
        <v>24</v>
      </c>
      <c r="CH36" s="188">
        <v>39</v>
      </c>
      <c r="CI36" s="189">
        <f>CG36+CH36</f>
        <v>63</v>
      </c>
      <c r="CJ36" s="186">
        <f>CF58*CJ34</f>
        <v>0</v>
      </c>
      <c r="CK36" s="187">
        <v>0</v>
      </c>
      <c r="CL36" s="188">
        <v>0</v>
      </c>
      <c r="CM36" s="189">
        <f>CK36+CL36</f>
        <v>0</v>
      </c>
      <c r="CN36" s="390">
        <v>312</v>
      </c>
      <c r="CO36" s="400"/>
      <c r="CP36" s="401"/>
      <c r="CQ36" s="402">
        <f>CO36+CP36</f>
        <v>0</v>
      </c>
      <c r="CR36" s="186">
        <f>CN36</f>
        <v>312</v>
      </c>
      <c r="CS36" s="187"/>
      <c r="CT36" s="188"/>
      <c r="CU36" s="189">
        <f>CS36+CT36</f>
        <v>0</v>
      </c>
      <c r="CV36" s="186">
        <f>CJ36</f>
        <v>0</v>
      </c>
      <c r="CW36" s="187"/>
      <c r="CX36" s="188"/>
      <c r="CY36" s="189"/>
      <c r="CZ36" s="186">
        <v>116.08500000000001</v>
      </c>
      <c r="DA36" s="187">
        <v>57</v>
      </c>
      <c r="DB36" s="188">
        <v>17</v>
      </c>
      <c r="DC36" s="193">
        <f>DA36+DB36</f>
        <v>74</v>
      </c>
      <c r="DD36" s="186">
        <f>CZ36</f>
        <v>116.08500000000001</v>
      </c>
      <c r="DE36" s="187">
        <v>7</v>
      </c>
      <c r="DF36" s="188">
        <v>13</v>
      </c>
      <c r="DG36" s="189">
        <f>DE36+DF36</f>
        <v>20</v>
      </c>
      <c r="DH36" s="390">
        <v>124.986485</v>
      </c>
      <c r="DI36" s="400">
        <v>13</v>
      </c>
      <c r="DJ36" s="401">
        <v>14</v>
      </c>
      <c r="DK36" s="402">
        <f>DI36+DJ36</f>
        <v>27</v>
      </c>
      <c r="DL36" s="186">
        <f>DH36</f>
        <v>124.986485</v>
      </c>
      <c r="DM36" s="187"/>
      <c r="DN36" s="188"/>
      <c r="DO36" s="189">
        <f>DM36+DN36</f>
        <v>0</v>
      </c>
      <c r="DP36" s="186">
        <f>DD36</f>
        <v>116.08500000000001</v>
      </c>
      <c r="DQ36" s="187"/>
      <c r="DR36" s="188"/>
      <c r="DS36" s="193"/>
      <c r="DT36" s="39"/>
    </row>
    <row r="37" spans="1:124" hidden="1" x14ac:dyDescent="0.2"/>
    <row r="38" spans="1:124" hidden="1" x14ac:dyDescent="0.2">
      <c r="E38" s="59">
        <f>301912.975+282571.548-213779.194-194095.049</f>
        <v>176610.28000000003</v>
      </c>
    </row>
    <row r="39" spans="1:124" hidden="1" x14ac:dyDescent="0.2">
      <c r="E39" s="59">
        <f>213779.194+194095.049</f>
        <v>407874.24300000002</v>
      </c>
    </row>
    <row r="40" spans="1:124" hidden="1" x14ac:dyDescent="0.2"/>
    <row r="41" spans="1:124" ht="28.5" hidden="1" x14ac:dyDescent="0.2">
      <c r="B41" s="33" t="s">
        <v>111</v>
      </c>
      <c r="C41" s="34"/>
      <c r="D41" s="34"/>
      <c r="E41" s="60"/>
      <c r="F41" s="60"/>
      <c r="G41" s="60"/>
    </row>
    <row r="42" spans="1:124" hidden="1" x14ac:dyDescent="0.2">
      <c r="B42" s="35" t="s">
        <v>139</v>
      </c>
      <c r="C42" s="35"/>
      <c r="D42" s="35"/>
      <c r="E42" s="61">
        <v>2091.9360000000001</v>
      </c>
      <c r="F42" s="60">
        <f>3904.496-E42</f>
        <v>1812.56</v>
      </c>
      <c r="G42" s="60"/>
    </row>
    <row r="43" spans="1:124" hidden="1" x14ac:dyDescent="0.2">
      <c r="B43" s="35" t="s">
        <v>140</v>
      </c>
      <c r="C43" s="35"/>
      <c r="D43" s="35"/>
      <c r="E43" s="61">
        <v>1000</v>
      </c>
      <c r="F43" s="60">
        <f>5854.928-E43</f>
        <v>4854.9279999999999</v>
      </c>
      <c r="G43" s="60"/>
    </row>
    <row r="44" spans="1:124" hidden="1" x14ac:dyDescent="0.2">
      <c r="B44" s="35" t="s">
        <v>141</v>
      </c>
      <c r="C44" s="35"/>
      <c r="D44" s="35"/>
      <c r="E44" s="61">
        <v>0</v>
      </c>
      <c r="F44" s="60">
        <v>0</v>
      </c>
      <c r="G44" s="60"/>
    </row>
    <row r="45" spans="1:124" hidden="1" x14ac:dyDescent="0.2">
      <c r="B45" s="35" t="s">
        <v>142</v>
      </c>
      <c r="C45" s="35"/>
      <c r="D45" s="35"/>
      <c r="E45" s="61">
        <v>1748.1</v>
      </c>
      <c r="F45" s="60">
        <f>3681.392-E45</f>
        <v>1933.2919999999999</v>
      </c>
      <c r="G45" s="60"/>
    </row>
    <row r="46" spans="1:124" hidden="1" x14ac:dyDescent="0.2">
      <c r="B46" s="36"/>
      <c r="C46" s="36"/>
      <c r="D46" s="36"/>
      <c r="E46" s="62">
        <f>SUM(E42:E45)</f>
        <v>4840.0360000000001</v>
      </c>
      <c r="F46" s="62">
        <f>SUM(F42:F45)</f>
        <v>8600.7799999999988</v>
      </c>
      <c r="G46" s="60"/>
    </row>
    <row r="47" spans="1:124" hidden="1" x14ac:dyDescent="0.2"/>
    <row r="48" spans="1:124" hidden="1" x14ac:dyDescent="0.2">
      <c r="E48" s="59">
        <f>66095.645+67857.431</f>
        <v>133953.076</v>
      </c>
      <c r="F48" s="59">
        <f>10572.499+10880.914</f>
        <v>21453.413</v>
      </c>
      <c r="G48" s="59">
        <f>11465.637+9738.154</f>
        <v>21203.791000000001</v>
      </c>
    </row>
    <row r="49" spans="2:128" hidden="1" x14ac:dyDescent="0.2"/>
    <row r="50" spans="2:128" hidden="1" x14ac:dyDescent="0.2">
      <c r="E50" s="63">
        <f>E17-E24-E31-E34</f>
        <v>312297.92600000004</v>
      </c>
    </row>
    <row r="51" spans="2:128" hidden="1" x14ac:dyDescent="0.2"/>
    <row r="52" spans="2:128" hidden="1" x14ac:dyDescent="0.2">
      <c r="E52" s="63">
        <f>E50-E18</f>
        <v>0</v>
      </c>
    </row>
    <row r="53" spans="2:128" hidden="1" x14ac:dyDescent="0.2"/>
    <row r="54" spans="2:128" hidden="1" x14ac:dyDescent="0.2"/>
    <row r="56" spans="2:128" s="73" customFormat="1" x14ac:dyDescent="0.2">
      <c r="E56" s="72"/>
      <c r="F56" s="72"/>
      <c r="G56" s="72"/>
      <c r="H56" s="367"/>
      <c r="I56" s="368"/>
      <c r="J56" s="368"/>
      <c r="K56" s="368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8"/>
      <c r="AD56" s="368"/>
      <c r="AE56" s="368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7"/>
      <c r="AS56" s="367"/>
      <c r="AT56" s="367"/>
      <c r="AU56" s="367"/>
      <c r="AV56" s="367"/>
      <c r="AW56" s="368"/>
      <c r="AX56" s="368"/>
      <c r="AY56" s="368"/>
      <c r="AZ56" s="367"/>
      <c r="BA56" s="367"/>
      <c r="BB56" s="367"/>
      <c r="BC56" s="367"/>
      <c r="BD56" s="367"/>
      <c r="BE56" s="367"/>
      <c r="BF56" s="367"/>
      <c r="BG56" s="367"/>
      <c r="BH56" s="367"/>
      <c r="BI56" s="367"/>
      <c r="BJ56" s="367"/>
      <c r="BK56" s="367"/>
      <c r="BL56" s="367"/>
      <c r="BM56" s="367"/>
      <c r="BN56" s="367"/>
      <c r="BO56" s="367"/>
      <c r="BP56" s="367"/>
      <c r="BQ56" s="368"/>
      <c r="BR56" s="368"/>
      <c r="BS56" s="368"/>
      <c r="BT56" s="367"/>
      <c r="BU56" s="367"/>
      <c r="BV56" s="367"/>
      <c r="BW56" s="367"/>
      <c r="BX56" s="367"/>
      <c r="BY56" s="367"/>
      <c r="BZ56" s="367"/>
      <c r="CA56" s="367"/>
      <c r="CB56" s="367"/>
      <c r="CC56" s="367"/>
      <c r="CD56" s="367"/>
      <c r="CE56" s="367"/>
      <c r="CF56" s="367"/>
      <c r="CG56" s="367"/>
      <c r="CH56" s="367"/>
      <c r="CI56" s="367"/>
      <c r="CJ56" s="367"/>
      <c r="CK56" s="368"/>
      <c r="CL56" s="368"/>
      <c r="CM56" s="368"/>
      <c r="CN56" s="367"/>
      <c r="CO56" s="367"/>
      <c r="CP56" s="367"/>
      <c r="CQ56" s="367"/>
      <c r="CR56" s="367"/>
      <c r="CS56" s="367"/>
      <c r="CT56" s="367"/>
      <c r="CU56" s="367"/>
      <c r="CV56" s="367"/>
      <c r="CW56" s="367"/>
      <c r="CX56" s="367"/>
      <c r="CY56" s="367"/>
      <c r="CZ56" s="367"/>
      <c r="DA56" s="367"/>
      <c r="DB56" s="367"/>
      <c r="DC56" s="367"/>
      <c r="DD56" s="367"/>
      <c r="DE56" s="368"/>
      <c r="DF56" s="368"/>
      <c r="DG56" s="368"/>
      <c r="DH56" s="367"/>
      <c r="DI56" s="367"/>
      <c r="DJ56" s="367"/>
      <c r="DK56" s="367"/>
      <c r="DL56" s="367"/>
      <c r="DM56" s="367"/>
      <c r="DN56" s="367"/>
      <c r="DO56" s="367"/>
      <c r="DP56" s="367"/>
      <c r="DQ56" s="367"/>
      <c r="DR56" s="367"/>
      <c r="DS56" s="367"/>
      <c r="DT56" s="367"/>
      <c r="DU56" s="367"/>
      <c r="DV56" s="367"/>
      <c r="DW56" s="367"/>
      <c r="DX56" s="367"/>
    </row>
    <row r="57" spans="2:128" x14ac:dyDescent="0.2">
      <c r="H57" s="366"/>
      <c r="I57" s="369"/>
      <c r="J57" s="369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9"/>
      <c r="AE57" s="369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9"/>
      <c r="AW57" s="369"/>
      <c r="AX57" s="366"/>
      <c r="AY57" s="366"/>
      <c r="AZ57" s="366"/>
      <c r="BA57" s="366"/>
      <c r="BB57" s="366"/>
      <c r="BC57" s="366"/>
      <c r="BD57" s="366"/>
      <c r="BE57" s="366"/>
      <c r="BF57" s="366"/>
      <c r="BG57" s="366"/>
      <c r="BH57" s="366"/>
      <c r="BI57" s="366"/>
      <c r="BJ57" s="366"/>
      <c r="BK57" s="366"/>
      <c r="BL57" s="366"/>
      <c r="BM57" s="366"/>
      <c r="BN57" s="366"/>
      <c r="BO57" s="366"/>
      <c r="BP57" s="366"/>
      <c r="BQ57" s="366"/>
      <c r="BR57" s="366"/>
      <c r="BS57" s="366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/>
      <c r="CF57" s="366"/>
      <c r="CG57" s="366"/>
      <c r="CH57" s="366"/>
      <c r="CI57" s="366"/>
      <c r="CJ57" s="370"/>
      <c r="CK57" s="369"/>
      <c r="CL57" s="371"/>
      <c r="CM57" s="371"/>
      <c r="CN57" s="366"/>
      <c r="CO57" s="366"/>
      <c r="CP57" s="366"/>
      <c r="CQ57" s="366"/>
      <c r="CR57" s="366"/>
      <c r="CS57" s="366"/>
      <c r="CT57" s="366"/>
      <c r="CU57" s="366"/>
      <c r="CV57" s="366"/>
      <c r="CW57" s="366"/>
      <c r="CX57" s="366"/>
      <c r="CY57" s="366"/>
      <c r="CZ57" s="366"/>
      <c r="DA57" s="366"/>
      <c r="DB57" s="366"/>
      <c r="DC57" s="366"/>
      <c r="DD57" s="366"/>
      <c r="DE57" s="366"/>
      <c r="DF57" s="366"/>
      <c r="DG57" s="366"/>
      <c r="DH57" s="366"/>
      <c r="DI57" s="366"/>
      <c r="DJ57" s="366"/>
      <c r="DK57" s="366"/>
      <c r="DL57" s="366"/>
      <c r="DM57" s="366"/>
      <c r="DN57" s="366"/>
      <c r="DO57" s="366"/>
      <c r="DP57" s="366"/>
      <c r="DQ57" s="366"/>
      <c r="DR57" s="366"/>
      <c r="DS57" s="366"/>
      <c r="DT57" s="366"/>
      <c r="DU57" s="366"/>
      <c r="DV57" s="366"/>
      <c r="DW57" s="366"/>
      <c r="DX57" s="366"/>
    </row>
    <row r="58" spans="2:128" x14ac:dyDescent="0.2">
      <c r="B58" s="110"/>
      <c r="H58" s="372"/>
      <c r="I58" s="373"/>
      <c r="J58" s="374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72"/>
      <c r="AD58" s="373"/>
      <c r="AE58" s="366"/>
      <c r="AF58" s="366"/>
      <c r="AG58" s="366"/>
      <c r="AH58" s="366"/>
      <c r="AI58" s="366"/>
      <c r="AJ58" s="366"/>
      <c r="AK58" s="366"/>
      <c r="AL58" s="366"/>
      <c r="AM58" s="366"/>
      <c r="AN58" s="366"/>
      <c r="AO58" s="366"/>
      <c r="AP58" s="366"/>
      <c r="AQ58" s="366"/>
      <c r="AR58" s="366"/>
      <c r="AS58" s="366"/>
      <c r="AT58" s="366"/>
      <c r="AU58" s="366"/>
      <c r="AV58" s="373"/>
      <c r="AW58" s="366"/>
      <c r="AX58" s="373"/>
      <c r="AY58" s="366"/>
      <c r="AZ58" s="366"/>
      <c r="BA58" s="366"/>
      <c r="BB58" s="366"/>
      <c r="BC58" s="366"/>
      <c r="BD58" s="366"/>
      <c r="BE58" s="366"/>
      <c r="BF58" s="366"/>
      <c r="BG58" s="366"/>
      <c r="BH58" s="366"/>
      <c r="BI58" s="366"/>
      <c r="BJ58" s="366"/>
      <c r="BK58" s="366"/>
      <c r="BL58" s="366"/>
      <c r="BM58" s="366"/>
      <c r="BN58" s="366"/>
      <c r="BO58" s="366"/>
      <c r="BP58" s="366"/>
      <c r="BQ58" s="366"/>
      <c r="BR58" s="366"/>
      <c r="BS58" s="366"/>
      <c r="BT58" s="366"/>
      <c r="BU58" s="366"/>
      <c r="BV58" s="366"/>
      <c r="BW58" s="366"/>
      <c r="BX58" s="366"/>
      <c r="BY58" s="366"/>
      <c r="BZ58" s="366"/>
      <c r="CA58" s="366"/>
      <c r="CB58" s="366"/>
      <c r="CC58" s="366"/>
      <c r="CD58" s="366"/>
      <c r="CE58" s="366"/>
      <c r="CF58" s="366"/>
      <c r="CG58" s="366"/>
      <c r="CH58" s="366"/>
      <c r="CI58" s="366"/>
      <c r="CJ58" s="373"/>
      <c r="CK58" s="366"/>
      <c r="CL58" s="373"/>
      <c r="CM58" s="366"/>
      <c r="CN58" s="366"/>
      <c r="CO58" s="366"/>
      <c r="CP58" s="366"/>
      <c r="CQ58" s="366"/>
      <c r="CR58" s="366"/>
      <c r="CS58" s="366"/>
      <c r="CT58" s="366"/>
      <c r="CU58" s="366"/>
      <c r="CV58" s="366"/>
      <c r="CW58" s="366"/>
      <c r="CX58" s="366"/>
      <c r="CY58" s="366"/>
      <c r="CZ58" s="366"/>
      <c r="DA58" s="366"/>
      <c r="DB58" s="366"/>
      <c r="DC58" s="366"/>
      <c r="DD58" s="366"/>
      <c r="DE58" s="366"/>
      <c r="DF58" s="366"/>
      <c r="DG58" s="366"/>
      <c r="DH58" s="366"/>
      <c r="DI58" s="366"/>
      <c r="DJ58" s="366"/>
      <c r="DK58" s="366"/>
      <c r="DL58" s="366"/>
      <c r="DM58" s="366"/>
      <c r="DN58" s="366"/>
      <c r="DO58" s="366"/>
      <c r="DP58" s="366"/>
      <c r="DQ58" s="366"/>
      <c r="DR58" s="366"/>
      <c r="DS58" s="366"/>
      <c r="DT58" s="366"/>
      <c r="DU58" s="366"/>
      <c r="DV58" s="366"/>
      <c r="DW58" s="366"/>
      <c r="DX58" s="366"/>
    </row>
    <row r="59" spans="2:128" x14ac:dyDescent="0.2">
      <c r="B59" s="110"/>
      <c r="H59" s="372"/>
      <c r="I59" s="373"/>
      <c r="J59" s="374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72"/>
      <c r="AD59" s="373"/>
      <c r="AE59" s="366"/>
      <c r="AF59" s="366"/>
      <c r="AG59" s="366"/>
      <c r="AH59" s="366"/>
      <c r="AI59" s="366"/>
      <c r="AJ59" s="366"/>
      <c r="AK59" s="366"/>
      <c r="AL59" s="366"/>
      <c r="AM59" s="366"/>
      <c r="AN59" s="366"/>
      <c r="AO59" s="366"/>
      <c r="AP59" s="366"/>
      <c r="AQ59" s="366"/>
      <c r="AR59" s="366"/>
      <c r="AS59" s="366"/>
      <c r="AT59" s="366"/>
      <c r="AU59" s="366"/>
      <c r="AV59" s="373"/>
      <c r="AW59" s="366"/>
      <c r="AX59" s="373"/>
      <c r="AY59" s="366"/>
      <c r="AZ59" s="366"/>
      <c r="BA59" s="366"/>
      <c r="BB59" s="366"/>
      <c r="BC59" s="366"/>
      <c r="BD59" s="366"/>
      <c r="BE59" s="366"/>
      <c r="BF59" s="366"/>
      <c r="BG59" s="366"/>
      <c r="BH59" s="366"/>
      <c r="BI59" s="366"/>
      <c r="BJ59" s="366"/>
      <c r="BK59" s="366"/>
      <c r="BL59" s="366"/>
      <c r="BM59" s="366"/>
      <c r="BN59" s="366"/>
      <c r="BO59" s="366"/>
      <c r="BP59" s="366"/>
      <c r="BQ59" s="366"/>
      <c r="BR59" s="366"/>
      <c r="BS59" s="366"/>
      <c r="BT59" s="366"/>
      <c r="BU59" s="366"/>
      <c r="BV59" s="366"/>
      <c r="BW59" s="366"/>
      <c r="BX59" s="366"/>
      <c r="BY59" s="366"/>
      <c r="BZ59" s="366"/>
      <c r="CA59" s="366"/>
      <c r="CB59" s="366"/>
      <c r="CC59" s="366"/>
      <c r="CD59" s="366"/>
      <c r="CE59" s="366"/>
      <c r="CF59" s="366"/>
      <c r="CG59" s="366"/>
      <c r="CH59" s="366"/>
      <c r="CI59" s="366"/>
      <c r="CJ59" s="376"/>
      <c r="CK59" s="376"/>
      <c r="CL59" s="376"/>
      <c r="CM59" s="366"/>
      <c r="CN59" s="366"/>
      <c r="CO59" s="366"/>
      <c r="CP59" s="366"/>
      <c r="CQ59" s="366"/>
      <c r="CR59" s="366"/>
      <c r="CS59" s="366"/>
      <c r="CT59" s="366"/>
      <c r="CU59" s="366"/>
      <c r="CV59" s="366"/>
      <c r="CW59" s="366"/>
      <c r="CX59" s="366"/>
      <c r="CY59" s="366"/>
      <c r="CZ59" s="366"/>
      <c r="DA59" s="366"/>
      <c r="DB59" s="366"/>
      <c r="DC59" s="366"/>
      <c r="DD59" s="366"/>
      <c r="DE59" s="366"/>
      <c r="DF59" s="366"/>
      <c r="DG59" s="366"/>
      <c r="DH59" s="366"/>
      <c r="DI59" s="366"/>
      <c r="DJ59" s="366"/>
      <c r="DK59" s="366"/>
      <c r="DL59" s="366"/>
      <c r="DM59" s="366"/>
      <c r="DN59" s="366"/>
      <c r="DO59" s="366"/>
      <c r="DP59" s="366"/>
      <c r="DQ59" s="366"/>
      <c r="DR59" s="366"/>
      <c r="DS59" s="366"/>
      <c r="DT59" s="366"/>
      <c r="DU59" s="366"/>
      <c r="DV59" s="366"/>
      <c r="DW59" s="366"/>
      <c r="DX59" s="366"/>
    </row>
    <row r="60" spans="2:128" x14ac:dyDescent="0.2">
      <c r="B60" s="110"/>
      <c r="H60" s="372"/>
      <c r="I60" s="373"/>
      <c r="J60" s="374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72"/>
      <c r="AD60" s="373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6"/>
      <c r="AS60" s="366"/>
      <c r="AT60" s="366"/>
      <c r="AU60" s="366"/>
      <c r="AV60" s="373"/>
      <c r="AW60" s="366"/>
      <c r="AX60" s="373"/>
      <c r="AY60" s="366"/>
      <c r="AZ60" s="366"/>
      <c r="BA60" s="366"/>
      <c r="BB60" s="366"/>
      <c r="BC60" s="366"/>
      <c r="BD60" s="366"/>
      <c r="BE60" s="366"/>
      <c r="BF60" s="366"/>
      <c r="BG60" s="366"/>
      <c r="BH60" s="366"/>
      <c r="BI60" s="366"/>
      <c r="BJ60" s="366"/>
      <c r="BK60" s="366"/>
      <c r="BL60" s="366"/>
      <c r="BM60" s="366"/>
      <c r="BN60" s="366"/>
      <c r="BO60" s="366"/>
      <c r="BP60" s="366"/>
      <c r="BQ60" s="366"/>
      <c r="BR60" s="366"/>
      <c r="BS60" s="366"/>
      <c r="BT60" s="366"/>
      <c r="BU60" s="366"/>
      <c r="BV60" s="366"/>
      <c r="BW60" s="366"/>
      <c r="BX60" s="366"/>
      <c r="BY60" s="366"/>
      <c r="BZ60" s="366"/>
      <c r="CA60" s="366"/>
      <c r="CB60" s="366"/>
      <c r="CC60" s="366"/>
      <c r="CD60" s="366"/>
      <c r="CE60" s="366"/>
      <c r="CF60" s="366"/>
      <c r="CG60" s="366"/>
      <c r="CH60" s="366"/>
      <c r="CI60" s="366"/>
      <c r="CJ60" s="373"/>
      <c r="CK60" s="366"/>
      <c r="CL60" s="373"/>
      <c r="CM60" s="366"/>
      <c r="CN60" s="366"/>
      <c r="CO60" s="366"/>
      <c r="CP60" s="366"/>
      <c r="CQ60" s="366"/>
      <c r="CR60" s="366"/>
      <c r="CS60" s="366"/>
      <c r="CT60" s="366"/>
      <c r="CU60" s="366"/>
      <c r="CV60" s="366"/>
      <c r="CW60" s="366"/>
      <c r="CX60" s="366"/>
      <c r="CY60" s="366"/>
      <c r="CZ60" s="366"/>
      <c r="DA60" s="366"/>
      <c r="DB60" s="366"/>
      <c r="DC60" s="366"/>
      <c r="DD60" s="366"/>
      <c r="DE60" s="366"/>
      <c r="DF60" s="366"/>
      <c r="DG60" s="366"/>
      <c r="DH60" s="366"/>
      <c r="DI60" s="366"/>
      <c r="DJ60" s="366"/>
      <c r="DK60" s="366"/>
      <c r="DL60" s="366"/>
      <c r="DM60" s="366"/>
      <c r="DN60" s="366"/>
      <c r="DO60" s="366"/>
      <c r="DP60" s="366"/>
      <c r="DQ60" s="366"/>
      <c r="DR60" s="366"/>
      <c r="DS60" s="366"/>
      <c r="DT60" s="366"/>
      <c r="DU60" s="366"/>
      <c r="DV60" s="366"/>
      <c r="DW60" s="366"/>
      <c r="DX60" s="366"/>
    </row>
    <row r="61" spans="2:128" x14ac:dyDescent="0.2">
      <c r="B61" s="110"/>
      <c r="H61" s="372"/>
      <c r="I61" s="373"/>
      <c r="J61" s="374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72"/>
      <c r="AD61" s="373"/>
      <c r="AE61" s="366"/>
      <c r="AF61" s="366"/>
      <c r="AG61" s="366"/>
      <c r="AH61" s="366"/>
      <c r="AI61" s="366"/>
      <c r="AJ61" s="366"/>
      <c r="AK61" s="366"/>
      <c r="AL61" s="366"/>
      <c r="AM61" s="366"/>
      <c r="AN61" s="366"/>
      <c r="AO61" s="366"/>
      <c r="AP61" s="366"/>
      <c r="AQ61" s="366"/>
      <c r="AR61" s="366"/>
      <c r="AS61" s="366"/>
      <c r="AT61" s="366"/>
      <c r="AU61" s="366"/>
      <c r="AV61" s="373"/>
      <c r="AW61" s="366"/>
      <c r="AX61" s="373"/>
      <c r="AY61" s="366"/>
      <c r="AZ61" s="366"/>
      <c r="BA61" s="366"/>
      <c r="BB61" s="366"/>
      <c r="BC61" s="366"/>
      <c r="BD61" s="366"/>
      <c r="BE61" s="366"/>
      <c r="BF61" s="366"/>
      <c r="BG61" s="366"/>
      <c r="BH61" s="366"/>
      <c r="BI61" s="366"/>
      <c r="BJ61" s="366"/>
      <c r="BK61" s="366"/>
      <c r="BL61" s="366"/>
      <c r="BM61" s="366"/>
      <c r="BN61" s="366"/>
      <c r="BO61" s="366"/>
      <c r="BP61" s="366"/>
      <c r="BQ61" s="366"/>
      <c r="BR61" s="366"/>
      <c r="BS61" s="366"/>
      <c r="BT61" s="366"/>
      <c r="BU61" s="366"/>
      <c r="BV61" s="366"/>
      <c r="BW61" s="366"/>
      <c r="BX61" s="366"/>
      <c r="BY61" s="366"/>
      <c r="BZ61" s="366"/>
      <c r="CA61" s="366"/>
      <c r="CB61" s="366"/>
      <c r="CC61" s="366"/>
      <c r="CD61" s="366"/>
      <c r="CE61" s="366"/>
      <c r="CF61" s="366"/>
      <c r="CG61" s="366"/>
      <c r="CH61" s="366"/>
      <c r="CI61" s="366"/>
      <c r="CJ61" s="373"/>
      <c r="CK61" s="366"/>
      <c r="CL61" s="373"/>
      <c r="CM61" s="366"/>
      <c r="CN61" s="366"/>
      <c r="CO61" s="366"/>
      <c r="CP61" s="366"/>
      <c r="CQ61" s="366"/>
      <c r="CR61" s="366"/>
      <c r="CS61" s="366"/>
      <c r="CT61" s="366"/>
      <c r="CU61" s="366"/>
      <c r="CV61" s="366"/>
      <c r="CW61" s="366"/>
      <c r="CX61" s="366"/>
      <c r="CY61" s="366"/>
      <c r="CZ61" s="366"/>
      <c r="DA61" s="366"/>
      <c r="DB61" s="366"/>
      <c r="DC61" s="366"/>
      <c r="DD61" s="366"/>
      <c r="DE61" s="366"/>
      <c r="DF61" s="366"/>
      <c r="DG61" s="366"/>
      <c r="DH61" s="366"/>
      <c r="DI61" s="366"/>
      <c r="DJ61" s="366"/>
      <c r="DK61" s="366"/>
      <c r="DL61" s="366"/>
      <c r="DM61" s="366"/>
      <c r="DN61" s="366"/>
      <c r="DO61" s="366"/>
      <c r="DP61" s="366"/>
      <c r="DQ61" s="366"/>
      <c r="DR61" s="366"/>
      <c r="DS61" s="366"/>
      <c r="DT61" s="366"/>
      <c r="DU61" s="366"/>
      <c r="DV61" s="366"/>
      <c r="DW61" s="366"/>
      <c r="DX61" s="366"/>
    </row>
    <row r="62" spans="2:128" x14ac:dyDescent="0.2">
      <c r="B62" s="110"/>
      <c r="H62" s="372"/>
      <c r="I62" s="373"/>
      <c r="J62" s="374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72"/>
      <c r="AD62" s="373"/>
      <c r="AE62" s="366"/>
      <c r="AF62" s="366"/>
      <c r="AG62" s="366"/>
      <c r="AH62" s="366"/>
      <c r="AI62" s="366"/>
      <c r="AJ62" s="366"/>
      <c r="AK62" s="366"/>
      <c r="AL62" s="366"/>
      <c r="AM62" s="366"/>
      <c r="AN62" s="366"/>
      <c r="AO62" s="366"/>
      <c r="AP62" s="366"/>
      <c r="AQ62" s="366"/>
      <c r="AR62" s="366"/>
      <c r="AS62" s="366"/>
      <c r="AT62" s="366"/>
      <c r="AU62" s="366"/>
      <c r="AV62" s="373"/>
      <c r="AW62" s="366"/>
      <c r="AX62" s="373"/>
      <c r="AY62" s="366"/>
      <c r="AZ62" s="366"/>
      <c r="BA62" s="366"/>
      <c r="BB62" s="366"/>
      <c r="BC62" s="366"/>
      <c r="BD62" s="366"/>
      <c r="BE62" s="366"/>
      <c r="BF62" s="366"/>
      <c r="BG62" s="366"/>
      <c r="BH62" s="366"/>
      <c r="BI62" s="366"/>
      <c r="BJ62" s="366"/>
      <c r="BK62" s="366"/>
      <c r="BL62" s="366"/>
      <c r="BM62" s="366"/>
      <c r="BN62" s="366"/>
      <c r="BO62" s="366"/>
      <c r="BP62" s="366"/>
      <c r="BQ62" s="366"/>
      <c r="BR62" s="366"/>
      <c r="BS62" s="366"/>
      <c r="BT62" s="366"/>
      <c r="BU62" s="366"/>
      <c r="BV62" s="366"/>
      <c r="BW62" s="366"/>
      <c r="BX62" s="366"/>
      <c r="BY62" s="366"/>
      <c r="BZ62" s="366"/>
      <c r="CA62" s="366"/>
      <c r="CB62" s="366"/>
      <c r="CC62" s="366"/>
      <c r="CD62" s="366"/>
      <c r="CE62" s="366"/>
      <c r="CF62" s="366"/>
      <c r="CG62" s="366"/>
      <c r="CH62" s="366"/>
      <c r="CI62" s="366"/>
      <c r="CJ62" s="373"/>
      <c r="CK62" s="366"/>
      <c r="CL62" s="373"/>
      <c r="CM62" s="366"/>
      <c r="CN62" s="366"/>
      <c r="CO62" s="366"/>
      <c r="CP62" s="366"/>
      <c r="CQ62" s="366"/>
      <c r="CR62" s="366"/>
      <c r="CS62" s="366"/>
      <c r="CT62" s="366"/>
      <c r="CU62" s="366"/>
      <c r="CV62" s="366"/>
      <c r="CW62" s="366"/>
      <c r="CX62" s="366"/>
      <c r="CY62" s="366"/>
      <c r="CZ62" s="366"/>
      <c r="DA62" s="366"/>
      <c r="DB62" s="366"/>
      <c r="DC62" s="366"/>
      <c r="DD62" s="366"/>
      <c r="DE62" s="366"/>
      <c r="DF62" s="366"/>
      <c r="DG62" s="366"/>
      <c r="DH62" s="366"/>
      <c r="DI62" s="366"/>
      <c r="DJ62" s="366"/>
      <c r="DK62" s="366"/>
      <c r="DL62" s="366"/>
      <c r="DM62" s="366"/>
      <c r="DN62" s="366"/>
      <c r="DO62" s="366"/>
      <c r="DP62" s="366"/>
      <c r="DQ62" s="366"/>
      <c r="DR62" s="366"/>
      <c r="DS62" s="366"/>
      <c r="DT62" s="366"/>
      <c r="DU62" s="366"/>
      <c r="DV62" s="366"/>
      <c r="DW62" s="366"/>
      <c r="DX62" s="366"/>
    </row>
    <row r="63" spans="2:128" x14ac:dyDescent="0.2">
      <c r="B63" s="110"/>
      <c r="H63" s="372"/>
      <c r="I63" s="373"/>
      <c r="J63" s="374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72"/>
      <c r="AD63" s="373"/>
      <c r="AE63" s="366"/>
      <c r="AF63" s="366"/>
      <c r="AG63" s="366"/>
      <c r="AH63" s="366"/>
      <c r="AI63" s="366"/>
      <c r="AJ63" s="366"/>
      <c r="AK63" s="366"/>
      <c r="AL63" s="366"/>
      <c r="AM63" s="366"/>
      <c r="AN63" s="366"/>
      <c r="AO63" s="366"/>
      <c r="AP63" s="366"/>
      <c r="AQ63" s="366"/>
      <c r="AR63" s="366"/>
      <c r="AS63" s="366"/>
      <c r="AT63" s="366"/>
      <c r="AU63" s="366"/>
      <c r="AV63" s="373"/>
      <c r="AW63" s="366"/>
      <c r="AX63" s="373"/>
      <c r="AY63" s="366"/>
      <c r="AZ63" s="366"/>
      <c r="BA63" s="366"/>
      <c r="BB63" s="366"/>
      <c r="BC63" s="366"/>
      <c r="BD63" s="366"/>
      <c r="BE63" s="366"/>
      <c r="BF63" s="366"/>
      <c r="BG63" s="366"/>
      <c r="BH63" s="366"/>
      <c r="BI63" s="366"/>
      <c r="BJ63" s="366"/>
      <c r="BK63" s="366"/>
      <c r="BL63" s="366"/>
      <c r="BM63" s="366"/>
      <c r="BN63" s="366"/>
      <c r="BO63" s="366"/>
      <c r="BP63" s="366"/>
      <c r="BQ63" s="366"/>
      <c r="BR63" s="366"/>
      <c r="BS63" s="366"/>
      <c r="BT63" s="366"/>
      <c r="BU63" s="366"/>
      <c r="BV63" s="366"/>
      <c r="BW63" s="366"/>
      <c r="BX63" s="366"/>
      <c r="BY63" s="366"/>
      <c r="BZ63" s="366"/>
      <c r="CA63" s="366"/>
      <c r="CB63" s="366"/>
      <c r="CC63" s="366"/>
      <c r="CD63" s="366"/>
      <c r="CE63" s="366"/>
      <c r="CF63" s="366"/>
      <c r="CG63" s="366"/>
      <c r="CH63" s="366"/>
      <c r="CI63" s="366"/>
      <c r="CJ63" s="373"/>
      <c r="CK63" s="366"/>
      <c r="CL63" s="373"/>
      <c r="CM63" s="366"/>
      <c r="CN63" s="366"/>
      <c r="CO63" s="366"/>
      <c r="CP63" s="366"/>
      <c r="CQ63" s="366"/>
      <c r="CR63" s="366"/>
      <c r="CS63" s="366"/>
      <c r="CT63" s="366"/>
      <c r="CU63" s="366"/>
      <c r="CV63" s="366"/>
      <c r="CW63" s="366"/>
      <c r="CX63" s="366"/>
      <c r="CY63" s="366"/>
      <c r="CZ63" s="366"/>
      <c r="DA63" s="366"/>
      <c r="DB63" s="366"/>
      <c r="DC63" s="366"/>
      <c r="DD63" s="366"/>
      <c r="DE63" s="366"/>
      <c r="DF63" s="366"/>
      <c r="DG63" s="366"/>
      <c r="DH63" s="366"/>
      <c r="DI63" s="366"/>
      <c r="DJ63" s="366"/>
      <c r="DK63" s="366"/>
      <c r="DL63" s="366"/>
      <c r="DM63" s="366"/>
      <c r="DN63" s="366"/>
      <c r="DO63" s="366"/>
      <c r="DP63" s="366"/>
      <c r="DQ63" s="366"/>
      <c r="DR63" s="366"/>
      <c r="DS63" s="366"/>
      <c r="DT63" s="366"/>
      <c r="DU63" s="366"/>
      <c r="DV63" s="366"/>
      <c r="DW63" s="366"/>
      <c r="DX63" s="366"/>
    </row>
    <row r="64" spans="2:128" x14ac:dyDescent="0.2">
      <c r="B64" s="110"/>
      <c r="H64" s="372"/>
      <c r="I64" s="373"/>
      <c r="J64" s="374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72"/>
      <c r="AD64" s="366"/>
      <c r="AE64" s="374"/>
      <c r="AF64" s="366"/>
      <c r="AG64" s="366"/>
      <c r="AH64" s="366"/>
      <c r="AI64" s="366"/>
      <c r="AJ64" s="366"/>
      <c r="AK64" s="366"/>
      <c r="AL64" s="366"/>
      <c r="AM64" s="366"/>
      <c r="AN64" s="366"/>
      <c r="AO64" s="366"/>
      <c r="AP64" s="366"/>
      <c r="AQ64" s="366"/>
      <c r="AR64" s="366"/>
      <c r="AS64" s="366"/>
      <c r="AT64" s="366"/>
      <c r="AU64" s="366"/>
      <c r="AV64" s="366"/>
      <c r="AW64" s="374"/>
      <c r="AX64" s="373"/>
      <c r="AY64" s="366"/>
      <c r="AZ64" s="366"/>
      <c r="BA64" s="366"/>
      <c r="BB64" s="366"/>
      <c r="BC64" s="366"/>
      <c r="BD64" s="366"/>
      <c r="BE64" s="366"/>
      <c r="BF64" s="366"/>
      <c r="BG64" s="366"/>
      <c r="BH64" s="366"/>
      <c r="BI64" s="366"/>
      <c r="BJ64" s="366"/>
      <c r="BK64" s="366"/>
      <c r="BL64" s="366"/>
      <c r="BM64" s="366"/>
      <c r="BN64" s="366"/>
      <c r="BO64" s="366"/>
      <c r="BP64" s="366"/>
      <c r="BQ64" s="366"/>
      <c r="BR64" s="366"/>
      <c r="BS64" s="366"/>
      <c r="BT64" s="366"/>
      <c r="BU64" s="366"/>
      <c r="BV64" s="366"/>
      <c r="BW64" s="366"/>
      <c r="BX64" s="366"/>
      <c r="BY64" s="366"/>
      <c r="BZ64" s="366"/>
      <c r="CA64" s="366"/>
      <c r="CB64" s="366"/>
      <c r="CC64" s="366"/>
      <c r="CD64" s="366"/>
      <c r="CE64" s="366"/>
      <c r="CF64" s="366"/>
      <c r="CG64" s="366"/>
      <c r="CH64" s="366"/>
      <c r="CI64" s="366"/>
      <c r="CJ64" s="366"/>
      <c r="CK64" s="376"/>
      <c r="CL64" s="366"/>
      <c r="CM64" s="376"/>
      <c r="CN64" s="366"/>
      <c r="CO64" s="366"/>
      <c r="CP64" s="366"/>
      <c r="CQ64" s="366"/>
      <c r="CR64" s="366"/>
      <c r="CS64" s="366"/>
      <c r="CT64" s="366"/>
      <c r="CU64" s="366"/>
      <c r="CV64" s="366"/>
      <c r="CW64" s="366"/>
      <c r="CX64" s="366"/>
      <c r="CY64" s="366"/>
      <c r="CZ64" s="366"/>
      <c r="DA64" s="366"/>
      <c r="DB64" s="366"/>
      <c r="DC64" s="366"/>
      <c r="DD64" s="366"/>
      <c r="DE64" s="366"/>
      <c r="DF64" s="366"/>
      <c r="DG64" s="366"/>
      <c r="DH64" s="366"/>
      <c r="DI64" s="366"/>
      <c r="DJ64" s="366"/>
      <c r="DK64" s="366"/>
      <c r="DL64" s="366"/>
      <c r="DM64" s="366"/>
      <c r="DN64" s="366"/>
      <c r="DO64" s="366"/>
      <c r="DP64" s="366"/>
      <c r="DQ64" s="366"/>
      <c r="DR64" s="366"/>
      <c r="DS64" s="366"/>
      <c r="DT64" s="366"/>
      <c r="DU64" s="366"/>
      <c r="DV64" s="366"/>
      <c r="DW64" s="366"/>
      <c r="DX64" s="366"/>
    </row>
    <row r="65" spans="2:128" x14ac:dyDescent="0.2">
      <c r="B65" s="110"/>
      <c r="H65" s="372"/>
      <c r="I65" s="373"/>
      <c r="J65" s="374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72"/>
      <c r="AD65" s="366"/>
      <c r="AE65" s="374"/>
      <c r="AF65" s="366"/>
      <c r="AG65" s="366"/>
      <c r="AH65" s="366"/>
      <c r="AI65" s="366"/>
      <c r="AJ65" s="366"/>
      <c r="AK65" s="366"/>
      <c r="AL65" s="366"/>
      <c r="AM65" s="366"/>
      <c r="AN65" s="366"/>
      <c r="AO65" s="366"/>
      <c r="AP65" s="366"/>
      <c r="AQ65" s="366"/>
      <c r="AR65" s="366"/>
      <c r="AS65" s="366"/>
      <c r="AT65" s="366"/>
      <c r="AU65" s="366"/>
      <c r="AV65" s="366"/>
      <c r="AW65" s="374"/>
      <c r="AX65" s="373"/>
      <c r="AY65" s="366"/>
      <c r="AZ65" s="366"/>
      <c r="BA65" s="366"/>
      <c r="BB65" s="366"/>
      <c r="BC65" s="366"/>
      <c r="BD65" s="366"/>
      <c r="BE65" s="366"/>
      <c r="BF65" s="366"/>
      <c r="BG65" s="366"/>
      <c r="BH65" s="366"/>
      <c r="BI65" s="366"/>
      <c r="BJ65" s="366"/>
      <c r="BK65" s="366"/>
      <c r="BL65" s="366"/>
      <c r="BM65" s="366"/>
      <c r="BN65" s="366"/>
      <c r="BO65" s="366"/>
      <c r="BP65" s="366"/>
      <c r="BQ65" s="366"/>
      <c r="BR65" s="366"/>
      <c r="BS65" s="366"/>
      <c r="BT65" s="366"/>
      <c r="BU65" s="366"/>
      <c r="BV65" s="366"/>
      <c r="BW65" s="366"/>
      <c r="BX65" s="366"/>
      <c r="BY65" s="366"/>
      <c r="BZ65" s="366"/>
      <c r="CA65" s="366"/>
      <c r="CB65" s="366"/>
      <c r="CC65" s="366"/>
      <c r="CD65" s="366"/>
      <c r="CE65" s="366"/>
      <c r="CF65" s="366"/>
      <c r="CG65" s="366"/>
      <c r="CH65" s="366"/>
      <c r="CI65" s="366"/>
      <c r="CJ65" s="366"/>
      <c r="CK65" s="376"/>
      <c r="CL65" s="366"/>
      <c r="CM65" s="376"/>
      <c r="CN65" s="366"/>
      <c r="CO65" s="366"/>
      <c r="CP65" s="366"/>
      <c r="CQ65" s="366"/>
      <c r="CR65" s="366"/>
      <c r="CS65" s="366"/>
      <c r="CT65" s="366"/>
      <c r="CU65" s="366"/>
      <c r="CV65" s="366"/>
      <c r="CW65" s="366"/>
      <c r="CX65" s="366"/>
      <c r="CY65" s="366"/>
      <c r="CZ65" s="366"/>
      <c r="DA65" s="366"/>
      <c r="DB65" s="366"/>
      <c r="DC65" s="366"/>
      <c r="DD65" s="366"/>
      <c r="DE65" s="366"/>
      <c r="DF65" s="366"/>
      <c r="DG65" s="366"/>
      <c r="DH65" s="366"/>
      <c r="DI65" s="366"/>
      <c r="DJ65" s="366"/>
      <c r="DK65" s="366"/>
      <c r="DL65" s="366"/>
      <c r="DM65" s="366"/>
      <c r="DN65" s="366"/>
      <c r="DO65" s="366"/>
      <c r="DP65" s="366"/>
      <c r="DQ65" s="366"/>
      <c r="DR65" s="366"/>
      <c r="DS65" s="366"/>
      <c r="DT65" s="366"/>
      <c r="DU65" s="366"/>
      <c r="DV65" s="366"/>
      <c r="DW65" s="366"/>
      <c r="DX65" s="366"/>
    </row>
    <row r="66" spans="2:128" x14ac:dyDescent="0.2">
      <c r="B66" s="110"/>
      <c r="H66" s="372"/>
      <c r="I66" s="373"/>
      <c r="J66" s="374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72"/>
      <c r="AD66" s="366"/>
      <c r="AE66" s="374"/>
      <c r="AF66" s="366"/>
      <c r="AG66" s="366"/>
      <c r="AH66" s="366"/>
      <c r="AI66" s="366"/>
      <c r="AJ66" s="366"/>
      <c r="AK66" s="366"/>
      <c r="AL66" s="366"/>
      <c r="AM66" s="366"/>
      <c r="AN66" s="366"/>
      <c r="AO66" s="366"/>
      <c r="AP66" s="366"/>
      <c r="AQ66" s="366"/>
      <c r="AR66" s="366"/>
      <c r="AS66" s="366"/>
      <c r="AT66" s="366"/>
      <c r="AU66" s="366"/>
      <c r="AV66" s="366"/>
      <c r="AW66" s="374"/>
      <c r="AX66" s="373"/>
      <c r="AY66" s="366"/>
      <c r="AZ66" s="366"/>
      <c r="BA66" s="366"/>
      <c r="BB66" s="366"/>
      <c r="BC66" s="366"/>
      <c r="BD66" s="366"/>
      <c r="BE66" s="366"/>
      <c r="BF66" s="366"/>
      <c r="BG66" s="366"/>
      <c r="BH66" s="366"/>
      <c r="BI66" s="366"/>
      <c r="BJ66" s="366"/>
      <c r="BK66" s="366"/>
      <c r="BL66" s="366"/>
      <c r="BM66" s="366"/>
      <c r="BN66" s="366"/>
      <c r="BO66" s="366"/>
      <c r="BP66" s="366"/>
      <c r="BQ66" s="366"/>
      <c r="BR66" s="366"/>
      <c r="BS66" s="366"/>
      <c r="BT66" s="366"/>
      <c r="BU66" s="366"/>
      <c r="BV66" s="366"/>
      <c r="BW66" s="366"/>
      <c r="BX66" s="366"/>
      <c r="BY66" s="366"/>
      <c r="BZ66" s="366"/>
      <c r="CA66" s="366"/>
      <c r="CB66" s="366"/>
      <c r="CC66" s="366"/>
      <c r="CD66" s="366"/>
      <c r="CE66" s="366"/>
      <c r="CF66" s="366"/>
      <c r="CG66" s="366"/>
      <c r="CH66" s="366"/>
      <c r="CI66" s="366"/>
      <c r="CJ66" s="366"/>
      <c r="CK66" s="376"/>
      <c r="CL66" s="366"/>
      <c r="CM66" s="376"/>
      <c r="CN66" s="366"/>
      <c r="CO66" s="366"/>
      <c r="CP66" s="366"/>
      <c r="CQ66" s="366"/>
      <c r="CR66" s="366"/>
      <c r="CS66" s="366"/>
      <c r="CT66" s="366"/>
      <c r="CU66" s="366"/>
      <c r="CV66" s="366"/>
      <c r="CW66" s="366"/>
      <c r="CX66" s="366"/>
      <c r="CY66" s="366"/>
      <c r="CZ66" s="366"/>
      <c r="DA66" s="366"/>
      <c r="DB66" s="366"/>
      <c r="DC66" s="366"/>
      <c r="DD66" s="366"/>
      <c r="DE66" s="366"/>
      <c r="DF66" s="366"/>
      <c r="DG66" s="366"/>
      <c r="DH66" s="366"/>
      <c r="DI66" s="366"/>
      <c r="DJ66" s="366"/>
      <c r="DK66" s="366"/>
      <c r="DL66" s="366"/>
      <c r="DM66" s="366"/>
      <c r="DN66" s="366"/>
      <c r="DO66" s="366"/>
      <c r="DP66" s="366"/>
      <c r="DQ66" s="366"/>
      <c r="DR66" s="366"/>
      <c r="DS66" s="366"/>
      <c r="DT66" s="366"/>
      <c r="DU66" s="366"/>
      <c r="DV66" s="366"/>
      <c r="DW66" s="366"/>
      <c r="DX66" s="366"/>
    </row>
    <row r="67" spans="2:128" x14ac:dyDescent="0.2">
      <c r="B67" s="110"/>
      <c r="H67" s="372"/>
      <c r="I67" s="373"/>
      <c r="J67" s="374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72"/>
      <c r="AD67" s="366"/>
      <c r="AE67" s="374"/>
      <c r="AF67" s="366"/>
      <c r="AG67" s="366"/>
      <c r="AH67" s="366"/>
      <c r="AI67" s="366"/>
      <c r="AJ67" s="366"/>
      <c r="AK67" s="366"/>
      <c r="AL67" s="366"/>
      <c r="AM67" s="366"/>
      <c r="AN67" s="366"/>
      <c r="AO67" s="366"/>
      <c r="AP67" s="366"/>
      <c r="AQ67" s="366"/>
      <c r="AR67" s="366"/>
      <c r="AS67" s="366"/>
      <c r="AT67" s="366"/>
      <c r="AU67" s="366"/>
      <c r="AV67" s="366"/>
      <c r="AW67" s="374"/>
      <c r="AX67" s="373"/>
      <c r="AY67" s="366"/>
      <c r="AZ67" s="366"/>
      <c r="BA67" s="366"/>
      <c r="BB67" s="366"/>
      <c r="BC67" s="366"/>
      <c r="BD67" s="366"/>
      <c r="BE67" s="366"/>
      <c r="BF67" s="366"/>
      <c r="BG67" s="366"/>
      <c r="BH67" s="366"/>
      <c r="BI67" s="366"/>
      <c r="BJ67" s="366"/>
      <c r="BK67" s="366"/>
      <c r="BL67" s="366"/>
      <c r="BM67" s="366"/>
      <c r="BN67" s="366"/>
      <c r="BO67" s="366"/>
      <c r="BP67" s="366"/>
      <c r="BQ67" s="366"/>
      <c r="BR67" s="366"/>
      <c r="BS67" s="366"/>
      <c r="BT67" s="366"/>
      <c r="BU67" s="366"/>
      <c r="BV67" s="366"/>
      <c r="BW67" s="366"/>
      <c r="BX67" s="366"/>
      <c r="BY67" s="366"/>
      <c r="BZ67" s="366"/>
      <c r="CA67" s="366"/>
      <c r="CB67" s="366"/>
      <c r="CC67" s="366"/>
      <c r="CD67" s="366"/>
      <c r="CE67" s="366"/>
      <c r="CF67" s="366"/>
      <c r="CG67" s="366"/>
      <c r="CH67" s="366"/>
      <c r="CI67" s="366"/>
      <c r="CJ67" s="366"/>
      <c r="CK67" s="376"/>
      <c r="CL67" s="366"/>
      <c r="CM67" s="376"/>
      <c r="CN67" s="366"/>
      <c r="CO67" s="366"/>
      <c r="CP67" s="366"/>
      <c r="CQ67" s="366"/>
      <c r="CR67" s="366"/>
      <c r="CS67" s="366"/>
      <c r="CT67" s="366"/>
      <c r="CU67" s="366"/>
      <c r="CV67" s="366"/>
      <c r="CW67" s="366"/>
      <c r="CX67" s="366"/>
      <c r="CY67" s="366"/>
      <c r="CZ67" s="366"/>
      <c r="DA67" s="366"/>
      <c r="DB67" s="366"/>
      <c r="DC67" s="366"/>
      <c r="DD67" s="366"/>
      <c r="DE67" s="366"/>
      <c r="DF67" s="366"/>
      <c r="DG67" s="366"/>
      <c r="DH67" s="366"/>
      <c r="DI67" s="366"/>
      <c r="DJ67" s="366"/>
      <c r="DK67" s="366"/>
      <c r="DL67" s="366"/>
      <c r="DM67" s="366"/>
      <c r="DN67" s="366"/>
      <c r="DO67" s="366"/>
      <c r="DP67" s="366"/>
      <c r="DQ67" s="366"/>
      <c r="DR67" s="366"/>
      <c r="DS67" s="366"/>
      <c r="DT67" s="366"/>
      <c r="DU67" s="366"/>
      <c r="DV67" s="366"/>
      <c r="DW67" s="366"/>
      <c r="DX67" s="366"/>
    </row>
    <row r="68" spans="2:128" x14ac:dyDescent="0.2">
      <c r="B68" s="110"/>
      <c r="H68" s="372"/>
      <c r="I68" s="373"/>
      <c r="J68" s="374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72"/>
      <c r="AD68" s="366"/>
      <c r="AE68" s="374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74"/>
      <c r="AX68" s="373"/>
      <c r="AY68" s="366"/>
      <c r="AZ68" s="366"/>
      <c r="BA68" s="366"/>
      <c r="BB68" s="366"/>
      <c r="BC68" s="366"/>
      <c r="BD68" s="366"/>
      <c r="BE68" s="366"/>
      <c r="BF68" s="366"/>
      <c r="BG68" s="366"/>
      <c r="BH68" s="366"/>
      <c r="BI68" s="366"/>
      <c r="BJ68" s="366"/>
      <c r="BK68" s="366"/>
      <c r="BL68" s="366"/>
      <c r="BM68" s="366"/>
      <c r="BN68" s="366"/>
      <c r="BO68" s="366"/>
      <c r="BP68" s="366"/>
      <c r="BQ68" s="366"/>
      <c r="BR68" s="366"/>
      <c r="BS68" s="366"/>
      <c r="BT68" s="366"/>
      <c r="BU68" s="366"/>
      <c r="BV68" s="366"/>
      <c r="BW68" s="366"/>
      <c r="BX68" s="366"/>
      <c r="BY68" s="366"/>
      <c r="BZ68" s="366"/>
      <c r="CA68" s="366"/>
      <c r="CB68" s="366"/>
      <c r="CC68" s="366"/>
      <c r="CD68" s="366"/>
      <c r="CE68" s="366"/>
      <c r="CF68" s="366"/>
      <c r="CG68" s="366"/>
      <c r="CH68" s="366"/>
      <c r="CI68" s="366"/>
      <c r="CJ68" s="366"/>
      <c r="CK68" s="376"/>
      <c r="CL68" s="366"/>
      <c r="CM68" s="376"/>
      <c r="CN68" s="366"/>
      <c r="CO68" s="366"/>
      <c r="CP68" s="366"/>
      <c r="CQ68" s="366"/>
      <c r="CR68" s="366"/>
      <c r="CS68" s="366"/>
      <c r="CT68" s="366"/>
      <c r="CU68" s="366"/>
      <c r="CV68" s="366"/>
      <c r="CW68" s="366"/>
      <c r="CX68" s="366"/>
      <c r="CY68" s="366"/>
      <c r="CZ68" s="366"/>
      <c r="DA68" s="366"/>
      <c r="DB68" s="366"/>
      <c r="DC68" s="366"/>
      <c r="DD68" s="366"/>
      <c r="DE68" s="366"/>
      <c r="DF68" s="366"/>
      <c r="DG68" s="366"/>
      <c r="DH68" s="366"/>
      <c r="DI68" s="366"/>
      <c r="DJ68" s="366"/>
      <c r="DK68" s="366"/>
      <c r="DL68" s="366"/>
      <c r="DM68" s="366"/>
      <c r="DN68" s="366"/>
      <c r="DO68" s="366"/>
      <c r="DP68" s="366"/>
      <c r="DQ68" s="366"/>
      <c r="DR68" s="366"/>
      <c r="DS68" s="366"/>
      <c r="DT68" s="366"/>
      <c r="DU68" s="366"/>
      <c r="DV68" s="366"/>
      <c r="DW68" s="366"/>
      <c r="DX68" s="366"/>
    </row>
    <row r="69" spans="2:128" x14ac:dyDescent="0.2">
      <c r="B69" s="110"/>
      <c r="H69" s="372"/>
      <c r="I69" s="373"/>
      <c r="J69" s="374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72"/>
      <c r="AD69" s="366"/>
      <c r="AE69" s="374"/>
      <c r="AF69" s="366"/>
      <c r="AG69" s="366"/>
      <c r="AH69" s="366"/>
      <c r="AI69" s="366"/>
      <c r="AJ69" s="366"/>
      <c r="AK69" s="366"/>
      <c r="AL69" s="366"/>
      <c r="AM69" s="366"/>
      <c r="AN69" s="366"/>
      <c r="AO69" s="366"/>
      <c r="AP69" s="366"/>
      <c r="AQ69" s="366"/>
      <c r="AR69" s="366"/>
      <c r="AS69" s="366"/>
      <c r="AT69" s="366"/>
      <c r="AU69" s="366"/>
      <c r="AV69" s="366"/>
      <c r="AW69" s="374"/>
      <c r="AX69" s="373"/>
      <c r="AY69" s="366"/>
      <c r="AZ69" s="366"/>
      <c r="BA69" s="366"/>
      <c r="BB69" s="366"/>
      <c r="BC69" s="366"/>
      <c r="BD69" s="366"/>
      <c r="BE69" s="366"/>
      <c r="BF69" s="366"/>
      <c r="BG69" s="366"/>
      <c r="BH69" s="366"/>
      <c r="BI69" s="366"/>
      <c r="BJ69" s="366"/>
      <c r="BK69" s="366"/>
      <c r="BL69" s="366"/>
      <c r="BM69" s="366"/>
      <c r="BN69" s="366"/>
      <c r="BO69" s="366"/>
      <c r="BP69" s="366"/>
      <c r="BQ69" s="366"/>
      <c r="BR69" s="366"/>
      <c r="BS69" s="366"/>
      <c r="BT69" s="366"/>
      <c r="BU69" s="366"/>
      <c r="BV69" s="366"/>
      <c r="BW69" s="366"/>
      <c r="BX69" s="366"/>
      <c r="BY69" s="366"/>
      <c r="BZ69" s="366"/>
      <c r="CA69" s="366"/>
      <c r="CB69" s="366"/>
      <c r="CC69" s="366"/>
      <c r="CD69" s="366"/>
      <c r="CE69" s="366"/>
      <c r="CF69" s="366"/>
      <c r="CG69" s="366"/>
      <c r="CH69" s="366"/>
      <c r="CI69" s="366"/>
      <c r="CJ69" s="366"/>
      <c r="CK69" s="376"/>
      <c r="CL69" s="366"/>
      <c r="CM69" s="376"/>
      <c r="CN69" s="366"/>
      <c r="CO69" s="366"/>
      <c r="CP69" s="366"/>
      <c r="CQ69" s="366"/>
      <c r="CR69" s="366"/>
      <c r="CS69" s="366"/>
      <c r="CT69" s="366"/>
      <c r="CU69" s="366"/>
      <c r="CV69" s="366"/>
      <c r="CW69" s="366"/>
      <c r="CX69" s="366"/>
      <c r="CY69" s="366"/>
      <c r="CZ69" s="366"/>
      <c r="DA69" s="366"/>
      <c r="DB69" s="366"/>
      <c r="DC69" s="366"/>
      <c r="DD69" s="366"/>
      <c r="DE69" s="366"/>
      <c r="DF69" s="366"/>
      <c r="DG69" s="366"/>
      <c r="DH69" s="366"/>
      <c r="DI69" s="366"/>
      <c r="DJ69" s="366"/>
      <c r="DK69" s="366"/>
      <c r="DL69" s="366"/>
      <c r="DM69" s="366"/>
      <c r="DN69" s="366"/>
      <c r="DO69" s="366"/>
      <c r="DP69" s="366"/>
      <c r="DQ69" s="366"/>
      <c r="DR69" s="366"/>
      <c r="DS69" s="366"/>
      <c r="DT69" s="366"/>
      <c r="DU69" s="366"/>
      <c r="DV69" s="366"/>
      <c r="DW69" s="366"/>
      <c r="DX69" s="366"/>
    </row>
    <row r="70" spans="2:128" x14ac:dyDescent="0.2">
      <c r="H70" s="366"/>
      <c r="I70" s="369"/>
      <c r="J70" s="369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75"/>
      <c r="AD70" s="560"/>
      <c r="AE70" s="560"/>
      <c r="AF70" s="366"/>
      <c r="AG70" s="366"/>
      <c r="AH70" s="366"/>
      <c r="AI70" s="366"/>
      <c r="AJ70" s="366"/>
      <c r="AK70" s="366"/>
      <c r="AL70" s="366"/>
      <c r="AM70" s="366"/>
      <c r="AN70" s="366"/>
      <c r="AO70" s="366"/>
      <c r="AP70" s="366"/>
      <c r="AQ70" s="366"/>
      <c r="AR70" s="366"/>
      <c r="AS70" s="366"/>
      <c r="AT70" s="366"/>
      <c r="AU70" s="366"/>
      <c r="AV70" s="561"/>
      <c r="AW70" s="561"/>
      <c r="AX70" s="366"/>
      <c r="AY70" s="366"/>
      <c r="AZ70" s="366"/>
      <c r="BA70" s="366"/>
      <c r="BB70" s="366"/>
      <c r="BC70" s="366"/>
      <c r="BD70" s="366"/>
      <c r="BE70" s="366"/>
      <c r="BF70" s="366"/>
      <c r="BG70" s="366"/>
      <c r="BH70" s="366"/>
      <c r="BI70" s="366"/>
      <c r="BJ70" s="366"/>
      <c r="BK70" s="366"/>
      <c r="BL70" s="366"/>
      <c r="BM70" s="366"/>
      <c r="BN70" s="366"/>
      <c r="BO70" s="366"/>
      <c r="BP70" s="366"/>
      <c r="BQ70" s="366"/>
      <c r="BR70" s="366"/>
      <c r="BS70" s="375"/>
      <c r="BT70" s="366"/>
      <c r="BU70" s="366"/>
      <c r="BV70" s="366"/>
      <c r="BW70" s="366"/>
      <c r="BX70" s="366"/>
      <c r="BY70" s="366"/>
      <c r="BZ70" s="366"/>
      <c r="CA70" s="366"/>
      <c r="CB70" s="366"/>
      <c r="CC70" s="366"/>
      <c r="CD70" s="366"/>
      <c r="CE70" s="366"/>
      <c r="CF70" s="366"/>
      <c r="CG70" s="366"/>
      <c r="CH70" s="366"/>
      <c r="CI70" s="366"/>
      <c r="CJ70" s="560"/>
      <c r="CK70" s="560"/>
      <c r="CL70" s="561"/>
      <c r="CM70" s="561"/>
      <c r="CN70" s="366"/>
      <c r="CO70" s="366"/>
      <c r="CP70" s="366"/>
      <c r="CQ70" s="366"/>
      <c r="CR70" s="366"/>
      <c r="CS70" s="366"/>
      <c r="CT70" s="366"/>
      <c r="CU70" s="366"/>
      <c r="CV70" s="366"/>
      <c r="CW70" s="366"/>
      <c r="CX70" s="366"/>
      <c r="CY70" s="366"/>
      <c r="CZ70" s="366"/>
      <c r="DA70" s="366"/>
      <c r="DB70" s="366"/>
      <c r="DC70" s="366"/>
      <c r="DD70" s="366"/>
      <c r="DE70" s="366"/>
      <c r="DF70" s="366"/>
      <c r="DG70" s="366"/>
      <c r="DH70" s="366"/>
      <c r="DI70" s="366"/>
      <c r="DJ70" s="366"/>
      <c r="DK70" s="366"/>
      <c r="DL70" s="366"/>
      <c r="DM70" s="366"/>
      <c r="DN70" s="366"/>
      <c r="DO70" s="366"/>
      <c r="DP70" s="366"/>
      <c r="DQ70" s="366"/>
      <c r="DR70" s="366"/>
      <c r="DS70" s="366"/>
      <c r="DT70" s="366"/>
      <c r="DU70" s="366"/>
      <c r="DV70" s="366"/>
      <c r="DW70" s="366"/>
      <c r="DX70" s="366"/>
    </row>
    <row r="71" spans="2:128" x14ac:dyDescent="0.2"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  <c r="AK71" s="366"/>
      <c r="AL71" s="366"/>
      <c r="AM71" s="366"/>
      <c r="AN71" s="366"/>
      <c r="AO71" s="366"/>
      <c r="AP71" s="366"/>
      <c r="AQ71" s="366"/>
      <c r="AR71" s="366"/>
      <c r="AS71" s="366"/>
      <c r="AT71" s="366"/>
      <c r="AU71" s="366"/>
      <c r="AV71" s="366"/>
      <c r="AW71" s="366"/>
      <c r="AX71" s="369"/>
      <c r="AY71" s="369"/>
      <c r="AZ71" s="366"/>
      <c r="BA71" s="366"/>
      <c r="BB71" s="366"/>
      <c r="BC71" s="366"/>
      <c r="BD71" s="366"/>
      <c r="BE71" s="366"/>
      <c r="BF71" s="366"/>
      <c r="BG71" s="366"/>
      <c r="BH71" s="366"/>
      <c r="BI71" s="366"/>
      <c r="BJ71" s="366"/>
      <c r="BK71" s="366"/>
      <c r="BL71" s="366"/>
      <c r="BM71" s="366"/>
      <c r="BN71" s="366"/>
      <c r="BO71" s="366"/>
      <c r="BP71" s="369"/>
      <c r="BQ71" s="369"/>
      <c r="BR71" s="366"/>
      <c r="BS71" s="366"/>
      <c r="BT71" s="366"/>
      <c r="BU71" s="366"/>
      <c r="BV71" s="366"/>
      <c r="BW71" s="366"/>
      <c r="BX71" s="366"/>
      <c r="BY71" s="366"/>
      <c r="BZ71" s="366"/>
      <c r="CA71" s="366"/>
      <c r="CB71" s="366"/>
      <c r="CC71" s="366"/>
      <c r="CD71" s="366"/>
      <c r="CE71" s="366"/>
      <c r="CF71" s="366"/>
      <c r="CG71" s="366"/>
      <c r="CH71" s="366"/>
      <c r="CI71" s="366"/>
      <c r="CJ71" s="366"/>
      <c r="CK71" s="366"/>
      <c r="CL71" s="366"/>
      <c r="CM71" s="366"/>
      <c r="CN71" s="366"/>
      <c r="CO71" s="366"/>
      <c r="CP71" s="366"/>
      <c r="CQ71" s="366"/>
      <c r="CR71" s="366"/>
      <c r="CS71" s="366"/>
      <c r="CT71" s="366"/>
      <c r="CU71" s="366"/>
      <c r="CV71" s="366"/>
      <c r="CW71" s="366"/>
      <c r="CX71" s="366"/>
      <c r="CY71" s="366"/>
      <c r="CZ71" s="366"/>
      <c r="DA71" s="366"/>
      <c r="DB71" s="366"/>
      <c r="DC71" s="366"/>
      <c r="DD71" s="366"/>
      <c r="DE71" s="369"/>
      <c r="DF71" s="369"/>
      <c r="DG71" s="369"/>
      <c r="DH71" s="366"/>
      <c r="DI71" s="366"/>
      <c r="DJ71" s="366"/>
      <c r="DK71" s="366"/>
      <c r="DL71" s="366"/>
      <c r="DM71" s="366"/>
      <c r="DN71" s="366"/>
      <c r="DO71" s="366"/>
      <c r="DP71" s="366"/>
      <c r="DQ71" s="366"/>
      <c r="DR71" s="366"/>
      <c r="DS71" s="366"/>
      <c r="DT71" s="369"/>
      <c r="DU71" s="366"/>
      <c r="DV71" s="366"/>
      <c r="DW71" s="366"/>
      <c r="DX71" s="366"/>
    </row>
    <row r="72" spans="2:128" x14ac:dyDescent="0.2">
      <c r="H72" s="366"/>
      <c r="I72" s="366"/>
      <c r="J72" s="366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72"/>
      <c r="AF72" s="366"/>
      <c r="AG72" s="366"/>
      <c r="AH72" s="366"/>
      <c r="AI72" s="366"/>
      <c r="AJ72" s="366"/>
      <c r="AK72" s="366"/>
      <c r="AL72" s="366"/>
      <c r="AM72" s="366"/>
      <c r="AN72" s="366"/>
      <c r="AO72" s="366"/>
      <c r="AP72" s="366"/>
      <c r="AQ72" s="366"/>
      <c r="AR72" s="366"/>
      <c r="AS72" s="366"/>
      <c r="AT72" s="366"/>
      <c r="AU72" s="366"/>
      <c r="AV72" s="366"/>
      <c r="AW72" s="366"/>
      <c r="AX72" s="374"/>
      <c r="AY72" s="366"/>
      <c r="AZ72" s="366"/>
      <c r="BA72" s="366"/>
      <c r="BB72" s="366"/>
      <c r="BC72" s="366"/>
      <c r="BD72" s="366"/>
      <c r="BE72" s="366"/>
      <c r="BF72" s="366"/>
      <c r="BG72" s="366"/>
      <c r="BH72" s="366"/>
      <c r="BI72" s="366"/>
      <c r="BJ72" s="366"/>
      <c r="BK72" s="366"/>
      <c r="BL72" s="366"/>
      <c r="BM72" s="366"/>
      <c r="BN72" s="366"/>
      <c r="BO72" s="366"/>
      <c r="BP72" s="374"/>
      <c r="BQ72" s="366"/>
      <c r="BR72" s="366"/>
      <c r="BS72" s="366"/>
      <c r="BT72" s="366"/>
      <c r="BU72" s="366"/>
      <c r="BV72" s="366"/>
      <c r="BW72" s="366"/>
      <c r="BX72" s="366"/>
      <c r="BY72" s="366"/>
      <c r="BZ72" s="366"/>
      <c r="CA72" s="366"/>
      <c r="CB72" s="366"/>
      <c r="CC72" s="366"/>
      <c r="CD72" s="366"/>
      <c r="CE72" s="366"/>
      <c r="CF72" s="366"/>
      <c r="CG72" s="366"/>
      <c r="CH72" s="366"/>
      <c r="CI72" s="366"/>
      <c r="CJ72" s="366"/>
      <c r="CK72" s="366"/>
      <c r="CL72" s="366"/>
      <c r="CM72" s="366"/>
      <c r="CN72" s="366"/>
      <c r="CO72" s="366"/>
      <c r="CP72" s="366"/>
      <c r="CQ72" s="366"/>
      <c r="CR72" s="366"/>
      <c r="CS72" s="366"/>
      <c r="CT72" s="366"/>
      <c r="CU72" s="366"/>
      <c r="CV72" s="366"/>
      <c r="CW72" s="366"/>
      <c r="CX72" s="366"/>
      <c r="CY72" s="366"/>
      <c r="CZ72" s="366"/>
      <c r="DA72" s="366"/>
      <c r="DB72" s="366"/>
      <c r="DC72" s="366"/>
      <c r="DD72" s="366"/>
      <c r="DE72" s="374"/>
      <c r="DF72" s="366"/>
      <c r="DG72" s="374"/>
      <c r="DH72" s="366"/>
      <c r="DI72" s="366"/>
      <c r="DJ72" s="366"/>
      <c r="DK72" s="366"/>
      <c r="DL72" s="366"/>
      <c r="DM72" s="366"/>
      <c r="DN72" s="366"/>
      <c r="DO72" s="366"/>
      <c r="DP72" s="366"/>
      <c r="DQ72" s="366"/>
      <c r="DR72" s="366"/>
      <c r="DS72" s="366"/>
      <c r="DT72" s="366"/>
      <c r="DU72" s="366"/>
      <c r="DV72" s="366"/>
      <c r="DW72" s="366"/>
      <c r="DX72" s="366"/>
    </row>
    <row r="73" spans="2:128" x14ac:dyDescent="0.2"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72"/>
      <c r="AF73" s="366"/>
      <c r="AG73" s="366"/>
      <c r="AH73" s="366"/>
      <c r="AI73" s="366"/>
      <c r="AJ73" s="366"/>
      <c r="AK73" s="366"/>
      <c r="AL73" s="366"/>
      <c r="AM73" s="366"/>
      <c r="AN73" s="366"/>
      <c r="AO73" s="366"/>
      <c r="AP73" s="366"/>
      <c r="AQ73" s="366"/>
      <c r="AR73" s="366"/>
      <c r="AS73" s="366"/>
      <c r="AT73" s="366"/>
      <c r="AU73" s="366"/>
      <c r="AV73" s="366"/>
      <c r="AW73" s="366"/>
      <c r="AX73" s="374"/>
      <c r="AY73" s="366"/>
      <c r="AZ73" s="366"/>
      <c r="BA73" s="366"/>
      <c r="BB73" s="366"/>
      <c r="BC73" s="366"/>
      <c r="BD73" s="366"/>
      <c r="BE73" s="366"/>
      <c r="BF73" s="366"/>
      <c r="BG73" s="366"/>
      <c r="BH73" s="366"/>
      <c r="BI73" s="366"/>
      <c r="BJ73" s="366"/>
      <c r="BK73" s="366"/>
      <c r="BL73" s="366"/>
      <c r="BM73" s="366"/>
      <c r="BN73" s="366"/>
      <c r="BO73" s="366"/>
      <c r="BP73" s="374"/>
      <c r="BQ73" s="366"/>
      <c r="BR73" s="366"/>
      <c r="BS73" s="366"/>
      <c r="BT73" s="366"/>
      <c r="BU73" s="366"/>
      <c r="BV73" s="366"/>
      <c r="BW73" s="366"/>
      <c r="BX73" s="366"/>
      <c r="BY73" s="366"/>
      <c r="BZ73" s="366"/>
      <c r="CA73" s="366"/>
      <c r="CB73" s="366"/>
      <c r="CC73" s="366"/>
      <c r="CD73" s="366"/>
      <c r="CE73" s="366"/>
      <c r="CF73" s="366"/>
      <c r="CG73" s="366"/>
      <c r="CH73" s="366"/>
      <c r="CI73" s="366"/>
      <c r="CJ73" s="366"/>
      <c r="CK73" s="366"/>
      <c r="CL73" s="366"/>
      <c r="CM73" s="366"/>
      <c r="CN73" s="366"/>
      <c r="CO73" s="366"/>
      <c r="CP73" s="366"/>
      <c r="CQ73" s="366"/>
      <c r="CR73" s="366"/>
      <c r="CS73" s="366"/>
      <c r="CT73" s="366"/>
      <c r="CU73" s="366"/>
      <c r="CV73" s="366"/>
      <c r="CW73" s="366"/>
      <c r="CX73" s="366"/>
      <c r="CY73" s="366"/>
      <c r="CZ73" s="366"/>
      <c r="DA73" s="366"/>
      <c r="DB73" s="366"/>
      <c r="DC73" s="366"/>
      <c r="DD73" s="366"/>
      <c r="DE73" s="374"/>
      <c r="DF73" s="376"/>
      <c r="DG73" s="374"/>
      <c r="DH73" s="366"/>
      <c r="DI73" s="366"/>
      <c r="DJ73" s="366"/>
      <c r="DK73" s="366"/>
      <c r="DL73" s="366"/>
      <c r="DM73" s="366"/>
      <c r="DN73" s="366"/>
      <c r="DO73" s="366"/>
      <c r="DP73" s="366"/>
      <c r="DQ73" s="366"/>
      <c r="DR73" s="366"/>
      <c r="DS73" s="366"/>
      <c r="DT73" s="366"/>
      <c r="DU73" s="366"/>
      <c r="DV73" s="366"/>
      <c r="DW73" s="366"/>
      <c r="DX73" s="366"/>
    </row>
    <row r="74" spans="2:128" x14ac:dyDescent="0.2"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72"/>
      <c r="AF74" s="366"/>
      <c r="AG74" s="366"/>
      <c r="AH74" s="366"/>
      <c r="AI74" s="366"/>
      <c r="AJ74" s="366"/>
      <c r="AK74" s="366"/>
      <c r="AL74" s="366"/>
      <c r="AM74" s="366"/>
      <c r="AN74" s="366"/>
      <c r="AO74" s="366"/>
      <c r="AP74" s="366"/>
      <c r="AQ74" s="366"/>
      <c r="AR74" s="366"/>
      <c r="AS74" s="366"/>
      <c r="AT74" s="366"/>
      <c r="AU74" s="366"/>
      <c r="AV74" s="366"/>
      <c r="AW74" s="366"/>
      <c r="AX74" s="374"/>
      <c r="AY74" s="366"/>
      <c r="AZ74" s="366"/>
      <c r="BA74" s="366"/>
      <c r="BB74" s="366"/>
      <c r="BC74" s="366"/>
      <c r="BD74" s="366"/>
      <c r="BE74" s="366"/>
      <c r="BF74" s="366"/>
      <c r="BG74" s="366"/>
      <c r="BH74" s="366"/>
      <c r="BI74" s="366"/>
      <c r="BJ74" s="366"/>
      <c r="BK74" s="366"/>
      <c r="BL74" s="366"/>
      <c r="BM74" s="366"/>
      <c r="BN74" s="366"/>
      <c r="BO74" s="366"/>
      <c r="BP74" s="374"/>
      <c r="BQ74" s="366"/>
      <c r="BR74" s="366"/>
      <c r="BS74" s="366"/>
      <c r="BT74" s="366"/>
      <c r="BU74" s="366"/>
      <c r="BV74" s="366"/>
      <c r="BW74" s="366"/>
      <c r="BX74" s="366"/>
      <c r="BY74" s="366"/>
      <c r="BZ74" s="366"/>
      <c r="CA74" s="366"/>
      <c r="CB74" s="366"/>
      <c r="CC74" s="366"/>
      <c r="CD74" s="366"/>
      <c r="CE74" s="366"/>
      <c r="CF74" s="366"/>
      <c r="CG74" s="366"/>
      <c r="CH74" s="366"/>
      <c r="CI74" s="366"/>
      <c r="CJ74" s="366"/>
      <c r="CK74" s="366"/>
      <c r="CL74" s="366"/>
      <c r="CM74" s="366"/>
      <c r="CN74" s="366"/>
      <c r="CO74" s="366"/>
      <c r="CP74" s="366"/>
      <c r="CQ74" s="366"/>
      <c r="CR74" s="366"/>
      <c r="CS74" s="366"/>
      <c r="CT74" s="366"/>
      <c r="CU74" s="366"/>
      <c r="CV74" s="366"/>
      <c r="CW74" s="366"/>
      <c r="CX74" s="366"/>
      <c r="CY74" s="366"/>
      <c r="CZ74" s="366"/>
      <c r="DA74" s="366"/>
      <c r="DB74" s="366"/>
      <c r="DC74" s="366"/>
      <c r="DD74" s="366"/>
      <c r="DE74" s="374"/>
      <c r="DF74" s="366"/>
      <c r="DG74" s="374"/>
      <c r="DH74" s="366"/>
      <c r="DI74" s="366"/>
      <c r="DJ74" s="366"/>
      <c r="DK74" s="366"/>
      <c r="DL74" s="366"/>
      <c r="DM74" s="366"/>
      <c r="DN74" s="366"/>
      <c r="DO74" s="366"/>
      <c r="DP74" s="366"/>
      <c r="DQ74" s="366"/>
      <c r="DR74" s="366"/>
      <c r="DS74" s="366"/>
      <c r="DT74" s="366"/>
      <c r="DU74" s="366"/>
      <c r="DV74" s="366"/>
      <c r="DW74" s="366"/>
      <c r="DX74" s="366"/>
    </row>
    <row r="75" spans="2:128" x14ac:dyDescent="0.2"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72"/>
      <c r="AF75" s="366"/>
      <c r="AG75" s="366"/>
      <c r="AH75" s="366"/>
      <c r="AI75" s="366"/>
      <c r="AJ75" s="366"/>
      <c r="AK75" s="366"/>
      <c r="AL75" s="366"/>
      <c r="AM75" s="366"/>
      <c r="AN75" s="366"/>
      <c r="AO75" s="366"/>
      <c r="AP75" s="366"/>
      <c r="AQ75" s="366"/>
      <c r="AR75" s="366"/>
      <c r="AS75" s="366"/>
      <c r="AT75" s="366"/>
      <c r="AU75" s="366"/>
      <c r="AV75" s="366"/>
      <c r="AW75" s="366"/>
      <c r="AX75" s="374"/>
      <c r="AY75" s="366"/>
      <c r="AZ75" s="366"/>
      <c r="BA75" s="366"/>
      <c r="BB75" s="366"/>
      <c r="BC75" s="366"/>
      <c r="BD75" s="366"/>
      <c r="BE75" s="366"/>
      <c r="BF75" s="366"/>
      <c r="BG75" s="366"/>
      <c r="BH75" s="366"/>
      <c r="BI75" s="366"/>
      <c r="BJ75" s="366"/>
      <c r="BK75" s="366"/>
      <c r="BL75" s="366"/>
      <c r="BM75" s="366"/>
      <c r="BN75" s="366"/>
      <c r="BO75" s="366"/>
      <c r="BP75" s="374"/>
      <c r="BQ75" s="366"/>
      <c r="BR75" s="366"/>
      <c r="BS75" s="366"/>
      <c r="BT75" s="366"/>
      <c r="BU75" s="366"/>
      <c r="BV75" s="366"/>
      <c r="BW75" s="366"/>
      <c r="BX75" s="366"/>
      <c r="BY75" s="366"/>
      <c r="BZ75" s="366"/>
      <c r="CA75" s="366"/>
      <c r="CB75" s="366"/>
      <c r="CC75" s="366"/>
      <c r="CD75" s="366"/>
      <c r="CE75" s="366"/>
      <c r="CF75" s="366"/>
      <c r="CG75" s="366"/>
      <c r="CH75" s="366"/>
      <c r="CI75" s="366"/>
      <c r="CJ75" s="366"/>
      <c r="CK75" s="366"/>
      <c r="CL75" s="366"/>
      <c r="CM75" s="366"/>
      <c r="CN75" s="366"/>
      <c r="CO75" s="366"/>
      <c r="CP75" s="366"/>
      <c r="CQ75" s="366"/>
      <c r="CR75" s="366"/>
      <c r="CS75" s="366"/>
      <c r="CT75" s="366"/>
      <c r="CU75" s="366"/>
      <c r="CV75" s="366"/>
      <c r="CW75" s="366"/>
      <c r="CX75" s="366"/>
      <c r="CY75" s="366"/>
      <c r="CZ75" s="366"/>
      <c r="DA75" s="366"/>
      <c r="DB75" s="366"/>
      <c r="DC75" s="366"/>
      <c r="DD75" s="366"/>
      <c r="DE75" s="374"/>
      <c r="DF75" s="366"/>
      <c r="DG75" s="374"/>
      <c r="DH75" s="366"/>
      <c r="DI75" s="366"/>
      <c r="DJ75" s="366"/>
      <c r="DK75" s="366"/>
      <c r="DL75" s="366"/>
      <c r="DM75" s="366"/>
      <c r="DN75" s="366"/>
      <c r="DO75" s="366"/>
      <c r="DP75" s="366"/>
      <c r="DQ75" s="366"/>
      <c r="DR75" s="366"/>
      <c r="DS75" s="366"/>
      <c r="DT75" s="366"/>
      <c r="DU75" s="366"/>
      <c r="DV75" s="366"/>
      <c r="DW75" s="366"/>
      <c r="DX75" s="366"/>
    </row>
    <row r="76" spans="2:128" x14ac:dyDescent="0.2">
      <c r="H76" s="366"/>
      <c r="I76" s="366"/>
      <c r="J76" s="366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6"/>
      <c r="AE76" s="372"/>
      <c r="AF76" s="366"/>
      <c r="AG76" s="366"/>
      <c r="AH76" s="366"/>
      <c r="AI76" s="366"/>
      <c r="AJ76" s="366"/>
      <c r="AK76" s="366"/>
      <c r="AL76" s="366"/>
      <c r="AM76" s="366"/>
      <c r="AN76" s="366"/>
      <c r="AO76" s="366"/>
      <c r="AP76" s="366"/>
      <c r="AQ76" s="366"/>
      <c r="AR76" s="366"/>
      <c r="AS76" s="366"/>
      <c r="AT76" s="366"/>
      <c r="AU76" s="366"/>
      <c r="AV76" s="366"/>
      <c r="AW76" s="366"/>
      <c r="AX76" s="374"/>
      <c r="AY76" s="366"/>
      <c r="AZ76" s="366"/>
      <c r="BA76" s="366"/>
      <c r="BB76" s="366"/>
      <c r="BC76" s="366"/>
      <c r="BD76" s="366"/>
      <c r="BE76" s="366"/>
      <c r="BF76" s="366"/>
      <c r="BG76" s="366"/>
      <c r="BH76" s="366"/>
      <c r="BI76" s="366"/>
      <c r="BJ76" s="366"/>
      <c r="BK76" s="366"/>
      <c r="BL76" s="366"/>
      <c r="BM76" s="366"/>
      <c r="BN76" s="366"/>
      <c r="BO76" s="366"/>
      <c r="BP76" s="374"/>
      <c r="BQ76" s="366"/>
      <c r="BR76" s="366"/>
      <c r="BS76" s="366"/>
      <c r="BT76" s="366"/>
      <c r="BU76" s="366"/>
      <c r="BV76" s="366"/>
      <c r="BW76" s="366"/>
      <c r="BX76" s="366"/>
      <c r="BY76" s="366"/>
      <c r="BZ76" s="366"/>
      <c r="CA76" s="366"/>
      <c r="CB76" s="366"/>
      <c r="CC76" s="366"/>
      <c r="CD76" s="366"/>
      <c r="CE76" s="366"/>
      <c r="CF76" s="366"/>
      <c r="CG76" s="366"/>
      <c r="CH76" s="366"/>
      <c r="CI76" s="366"/>
      <c r="CJ76" s="366"/>
      <c r="CK76" s="366"/>
      <c r="CL76" s="366"/>
      <c r="CM76" s="366"/>
      <c r="CN76" s="366"/>
      <c r="CO76" s="366"/>
      <c r="CP76" s="366"/>
      <c r="CQ76" s="366"/>
      <c r="CR76" s="366"/>
      <c r="CS76" s="366"/>
      <c r="CT76" s="366"/>
      <c r="CU76" s="366"/>
      <c r="CV76" s="366"/>
      <c r="CW76" s="366"/>
      <c r="CX76" s="366"/>
      <c r="CY76" s="366"/>
      <c r="CZ76" s="366"/>
      <c r="DA76" s="366"/>
      <c r="DB76" s="366"/>
      <c r="DC76" s="366"/>
      <c r="DD76" s="366"/>
      <c r="DE76" s="374"/>
      <c r="DF76" s="366"/>
      <c r="DG76" s="374"/>
      <c r="DH76" s="366"/>
      <c r="DI76" s="366"/>
      <c r="DJ76" s="366"/>
      <c r="DK76" s="366"/>
      <c r="DL76" s="366"/>
      <c r="DM76" s="366"/>
      <c r="DN76" s="366"/>
      <c r="DO76" s="366"/>
      <c r="DP76" s="366"/>
      <c r="DQ76" s="366"/>
      <c r="DR76" s="366"/>
      <c r="DS76" s="366"/>
      <c r="DT76" s="366"/>
      <c r="DU76" s="366"/>
      <c r="DV76" s="366"/>
      <c r="DW76" s="366"/>
      <c r="DX76" s="366"/>
    </row>
    <row r="77" spans="2:128" x14ac:dyDescent="0.2"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72"/>
      <c r="AF77" s="366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6"/>
      <c r="AU77" s="366"/>
      <c r="AV77" s="366"/>
      <c r="AW77" s="366"/>
      <c r="AX77" s="374"/>
      <c r="AY77" s="366"/>
      <c r="AZ77" s="366"/>
      <c r="BA77" s="366"/>
      <c r="BB77" s="366"/>
      <c r="BC77" s="366"/>
      <c r="BD77" s="366"/>
      <c r="BE77" s="366"/>
      <c r="BF77" s="366"/>
      <c r="BG77" s="366"/>
      <c r="BH77" s="366"/>
      <c r="BI77" s="366"/>
      <c r="BJ77" s="366"/>
      <c r="BK77" s="366"/>
      <c r="BL77" s="366"/>
      <c r="BM77" s="366"/>
      <c r="BN77" s="366"/>
      <c r="BO77" s="366"/>
      <c r="BP77" s="374"/>
      <c r="BQ77" s="366"/>
      <c r="BR77" s="366"/>
      <c r="BS77" s="366"/>
      <c r="BT77" s="366"/>
      <c r="BU77" s="366"/>
      <c r="BV77" s="366"/>
      <c r="BW77" s="366"/>
      <c r="BX77" s="366"/>
      <c r="BY77" s="366"/>
      <c r="BZ77" s="366"/>
      <c r="CA77" s="366"/>
      <c r="CB77" s="366"/>
      <c r="CC77" s="366"/>
      <c r="CD77" s="366"/>
      <c r="CE77" s="366"/>
      <c r="CF77" s="366"/>
      <c r="CG77" s="366"/>
      <c r="CH77" s="366"/>
      <c r="CI77" s="366"/>
      <c r="CJ77" s="366"/>
      <c r="CK77" s="366"/>
      <c r="CL77" s="366"/>
      <c r="CM77" s="366"/>
      <c r="CN77" s="366"/>
      <c r="CO77" s="366"/>
      <c r="CP77" s="366"/>
      <c r="CQ77" s="366"/>
      <c r="CR77" s="366"/>
      <c r="CS77" s="366"/>
      <c r="CT77" s="366"/>
      <c r="CU77" s="366"/>
      <c r="CV77" s="366"/>
      <c r="CW77" s="366"/>
      <c r="CX77" s="366"/>
      <c r="CY77" s="366"/>
      <c r="CZ77" s="366"/>
      <c r="DA77" s="366"/>
      <c r="DB77" s="366"/>
      <c r="DC77" s="366"/>
      <c r="DD77" s="366"/>
      <c r="DE77" s="374"/>
      <c r="DF77" s="366"/>
      <c r="DG77" s="374"/>
      <c r="DH77" s="366"/>
      <c r="DI77" s="366"/>
      <c r="DJ77" s="366"/>
      <c r="DK77" s="366"/>
      <c r="DL77" s="366"/>
      <c r="DM77" s="366"/>
      <c r="DN77" s="366"/>
      <c r="DO77" s="366"/>
      <c r="DP77" s="366"/>
      <c r="DQ77" s="366"/>
      <c r="DR77" s="366"/>
      <c r="DS77" s="366"/>
      <c r="DT77" s="366"/>
      <c r="DU77" s="366"/>
      <c r="DV77" s="366"/>
      <c r="DW77" s="366"/>
      <c r="DX77" s="366"/>
    </row>
    <row r="78" spans="2:128" x14ac:dyDescent="0.2"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72"/>
      <c r="AF78" s="366"/>
      <c r="AG78" s="366"/>
      <c r="AH78" s="366"/>
      <c r="AI78" s="366"/>
      <c r="AJ78" s="366"/>
      <c r="AK78" s="366"/>
      <c r="AL78" s="366"/>
      <c r="AM78" s="366"/>
      <c r="AN78" s="366"/>
      <c r="AO78" s="366"/>
      <c r="AP78" s="366"/>
      <c r="AQ78" s="366"/>
      <c r="AR78" s="366"/>
      <c r="AS78" s="366"/>
      <c r="AT78" s="366"/>
      <c r="AU78" s="366"/>
      <c r="AV78" s="366"/>
      <c r="AW78" s="366"/>
      <c r="AX78" s="366"/>
      <c r="AY78" s="374"/>
      <c r="AZ78" s="366"/>
      <c r="BA78" s="366"/>
      <c r="BB78" s="366"/>
      <c r="BC78" s="366"/>
      <c r="BD78" s="366"/>
      <c r="BE78" s="366"/>
      <c r="BF78" s="366"/>
      <c r="BG78" s="366"/>
      <c r="BH78" s="366"/>
      <c r="BI78" s="366"/>
      <c r="BJ78" s="366"/>
      <c r="BK78" s="366"/>
      <c r="BL78" s="366"/>
      <c r="BM78" s="366"/>
      <c r="BN78" s="366"/>
      <c r="BO78" s="366"/>
      <c r="BP78" s="366"/>
      <c r="BQ78" s="372"/>
      <c r="BR78" s="366"/>
      <c r="BS78" s="366"/>
      <c r="BT78" s="366"/>
      <c r="BU78" s="366"/>
      <c r="BV78" s="366"/>
      <c r="BW78" s="366"/>
      <c r="BX78" s="366"/>
      <c r="BY78" s="366"/>
      <c r="BZ78" s="366"/>
      <c r="CA78" s="366"/>
      <c r="CB78" s="366"/>
      <c r="CC78" s="366"/>
      <c r="CD78" s="366"/>
      <c r="CE78" s="366"/>
      <c r="CF78" s="366"/>
      <c r="CG78" s="366"/>
      <c r="CH78" s="366"/>
      <c r="CI78" s="366"/>
      <c r="CJ78" s="366"/>
      <c r="CK78" s="366"/>
      <c r="CL78" s="366"/>
      <c r="CM78" s="366"/>
      <c r="CN78" s="366"/>
      <c r="CO78" s="366"/>
      <c r="CP78" s="366"/>
      <c r="CQ78" s="366"/>
      <c r="CR78" s="366"/>
      <c r="CS78" s="366"/>
      <c r="CT78" s="366"/>
      <c r="CU78" s="366"/>
      <c r="CV78" s="366"/>
      <c r="CW78" s="366"/>
      <c r="CX78" s="366"/>
      <c r="CY78" s="366"/>
      <c r="CZ78" s="366"/>
      <c r="DA78" s="366"/>
      <c r="DB78" s="366"/>
      <c r="DC78" s="366"/>
      <c r="DD78" s="366"/>
      <c r="DE78" s="366"/>
      <c r="DF78" s="376"/>
      <c r="DG78" s="366"/>
      <c r="DH78" s="366"/>
      <c r="DI78" s="366"/>
      <c r="DJ78" s="366"/>
      <c r="DK78" s="366"/>
      <c r="DL78" s="366"/>
      <c r="DM78" s="366"/>
      <c r="DN78" s="366"/>
      <c r="DO78" s="366"/>
      <c r="DP78" s="366"/>
      <c r="DQ78" s="366"/>
      <c r="DR78" s="366"/>
      <c r="DS78" s="366"/>
      <c r="DT78" s="366"/>
      <c r="DU78" s="366"/>
      <c r="DV78" s="366"/>
      <c r="DW78" s="366"/>
      <c r="DX78" s="366"/>
    </row>
    <row r="79" spans="2:128" x14ac:dyDescent="0.2"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72"/>
      <c r="AF79" s="366"/>
      <c r="AG79" s="366"/>
      <c r="AH79" s="366"/>
      <c r="AI79" s="366"/>
      <c r="AJ79" s="366"/>
      <c r="AK79" s="366"/>
      <c r="AL79" s="366"/>
      <c r="AM79" s="366"/>
      <c r="AN79" s="366"/>
      <c r="AO79" s="366"/>
      <c r="AP79" s="366"/>
      <c r="AQ79" s="366"/>
      <c r="AR79" s="366"/>
      <c r="AS79" s="366"/>
      <c r="AT79" s="366"/>
      <c r="AU79" s="366"/>
      <c r="AV79" s="366"/>
      <c r="AW79" s="366"/>
      <c r="AX79" s="366"/>
      <c r="AY79" s="374"/>
      <c r="AZ79" s="366"/>
      <c r="BA79" s="366"/>
      <c r="BB79" s="366"/>
      <c r="BC79" s="366"/>
      <c r="BD79" s="366"/>
      <c r="BE79" s="366"/>
      <c r="BF79" s="366"/>
      <c r="BG79" s="366"/>
      <c r="BH79" s="366"/>
      <c r="BI79" s="366"/>
      <c r="BJ79" s="366"/>
      <c r="BK79" s="366"/>
      <c r="BL79" s="366"/>
      <c r="BM79" s="366"/>
      <c r="BN79" s="366"/>
      <c r="BO79" s="366"/>
      <c r="BP79" s="366"/>
      <c r="BQ79" s="372"/>
      <c r="BR79" s="366"/>
      <c r="BS79" s="366"/>
      <c r="BT79" s="366"/>
      <c r="BU79" s="366"/>
      <c r="BV79" s="366"/>
      <c r="BW79" s="366"/>
      <c r="BX79" s="366"/>
      <c r="BY79" s="366"/>
      <c r="BZ79" s="366"/>
      <c r="CA79" s="366"/>
      <c r="CB79" s="366"/>
      <c r="CC79" s="366"/>
      <c r="CD79" s="366"/>
      <c r="CE79" s="366"/>
      <c r="CF79" s="366"/>
      <c r="CG79" s="366"/>
      <c r="CH79" s="366"/>
      <c r="CI79" s="366"/>
      <c r="CJ79" s="366"/>
      <c r="CK79" s="366"/>
      <c r="CL79" s="366"/>
      <c r="CM79" s="366"/>
      <c r="CN79" s="366"/>
      <c r="CO79" s="366"/>
      <c r="CP79" s="366"/>
      <c r="CQ79" s="366"/>
      <c r="CR79" s="366"/>
      <c r="CS79" s="366"/>
      <c r="CT79" s="366"/>
      <c r="CU79" s="366"/>
      <c r="CV79" s="366"/>
      <c r="CW79" s="366"/>
      <c r="CX79" s="366"/>
      <c r="CY79" s="366"/>
      <c r="CZ79" s="366"/>
      <c r="DA79" s="366"/>
      <c r="DB79" s="366"/>
      <c r="DC79" s="366"/>
      <c r="DD79" s="366"/>
      <c r="DE79" s="366"/>
      <c r="DF79" s="376"/>
      <c r="DG79" s="366"/>
      <c r="DH79" s="366"/>
      <c r="DI79" s="366"/>
      <c r="DJ79" s="366"/>
      <c r="DK79" s="366"/>
      <c r="DL79" s="366"/>
      <c r="DM79" s="366"/>
      <c r="DN79" s="366"/>
      <c r="DO79" s="366"/>
      <c r="DP79" s="366"/>
      <c r="DQ79" s="366"/>
      <c r="DR79" s="366"/>
      <c r="DS79" s="366"/>
      <c r="DT79" s="366"/>
      <c r="DU79" s="366"/>
      <c r="DV79" s="366"/>
      <c r="DW79" s="366"/>
      <c r="DX79" s="366"/>
    </row>
    <row r="80" spans="2:128" x14ac:dyDescent="0.2"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  <c r="AC80" s="366"/>
      <c r="AD80" s="366"/>
      <c r="AE80" s="372"/>
      <c r="AF80" s="366"/>
      <c r="AG80" s="366"/>
      <c r="AH80" s="366"/>
      <c r="AI80" s="366"/>
      <c r="AJ80" s="366"/>
      <c r="AK80" s="366"/>
      <c r="AL80" s="366"/>
      <c r="AM80" s="366"/>
      <c r="AN80" s="366"/>
      <c r="AO80" s="366"/>
      <c r="AP80" s="366"/>
      <c r="AQ80" s="366"/>
      <c r="AR80" s="366"/>
      <c r="AS80" s="366"/>
      <c r="AT80" s="366"/>
      <c r="AU80" s="366"/>
      <c r="AV80" s="366"/>
      <c r="AW80" s="366"/>
      <c r="AX80" s="366"/>
      <c r="AY80" s="374"/>
      <c r="AZ80" s="366"/>
      <c r="BA80" s="366"/>
      <c r="BB80" s="366"/>
      <c r="BC80" s="366"/>
      <c r="BD80" s="366"/>
      <c r="BE80" s="366"/>
      <c r="BF80" s="366"/>
      <c r="BG80" s="366"/>
      <c r="BH80" s="366"/>
      <c r="BI80" s="366"/>
      <c r="BJ80" s="366"/>
      <c r="BK80" s="366"/>
      <c r="BL80" s="366"/>
      <c r="BM80" s="366"/>
      <c r="BN80" s="366"/>
      <c r="BO80" s="366"/>
      <c r="BP80" s="366"/>
      <c r="BQ80" s="372"/>
      <c r="BR80" s="366"/>
      <c r="BS80" s="366"/>
      <c r="BT80" s="366"/>
      <c r="BU80" s="366"/>
      <c r="BV80" s="366"/>
      <c r="BW80" s="366"/>
      <c r="BX80" s="366"/>
      <c r="BY80" s="366"/>
      <c r="BZ80" s="366"/>
      <c r="CA80" s="366"/>
      <c r="CB80" s="366"/>
      <c r="CC80" s="366"/>
      <c r="CD80" s="366"/>
      <c r="CE80" s="366"/>
      <c r="CF80" s="366"/>
      <c r="CG80" s="366"/>
      <c r="CH80" s="366"/>
      <c r="CI80" s="366"/>
      <c r="CJ80" s="366"/>
      <c r="CK80" s="366"/>
      <c r="CL80" s="366"/>
      <c r="CM80" s="366"/>
      <c r="CN80" s="366"/>
      <c r="CO80" s="366"/>
      <c r="CP80" s="366"/>
      <c r="CQ80" s="366"/>
      <c r="CR80" s="366"/>
      <c r="CS80" s="366"/>
      <c r="CT80" s="366"/>
      <c r="CU80" s="366"/>
      <c r="CV80" s="366"/>
      <c r="CW80" s="366"/>
      <c r="CX80" s="366"/>
      <c r="CY80" s="366"/>
      <c r="CZ80" s="366"/>
      <c r="DA80" s="366"/>
      <c r="DB80" s="366"/>
      <c r="DC80" s="366"/>
      <c r="DD80" s="366"/>
      <c r="DE80" s="366"/>
      <c r="DF80" s="376"/>
      <c r="DG80" s="366"/>
      <c r="DH80" s="366"/>
      <c r="DI80" s="366"/>
      <c r="DJ80" s="366"/>
      <c r="DK80" s="366"/>
      <c r="DL80" s="366"/>
      <c r="DM80" s="366"/>
      <c r="DN80" s="366"/>
      <c r="DO80" s="366"/>
      <c r="DP80" s="366"/>
      <c r="DQ80" s="366"/>
      <c r="DR80" s="366"/>
      <c r="DS80" s="366"/>
      <c r="DT80" s="366"/>
      <c r="DU80" s="366"/>
      <c r="DV80" s="366"/>
      <c r="DW80" s="366"/>
      <c r="DX80" s="366"/>
    </row>
    <row r="81" spans="8:128" x14ac:dyDescent="0.2"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6"/>
      <c r="AE81" s="372"/>
      <c r="AF81" s="366"/>
      <c r="AG81" s="366"/>
      <c r="AH81" s="366"/>
      <c r="AI81" s="366"/>
      <c r="AJ81" s="366"/>
      <c r="AK81" s="366"/>
      <c r="AL81" s="366"/>
      <c r="AM81" s="366"/>
      <c r="AN81" s="366"/>
      <c r="AO81" s="366"/>
      <c r="AP81" s="366"/>
      <c r="AQ81" s="366"/>
      <c r="AR81" s="366"/>
      <c r="AS81" s="366"/>
      <c r="AT81" s="366"/>
      <c r="AU81" s="366"/>
      <c r="AV81" s="366"/>
      <c r="AW81" s="366"/>
      <c r="AX81" s="366"/>
      <c r="AY81" s="374"/>
      <c r="AZ81" s="366"/>
      <c r="BA81" s="366"/>
      <c r="BB81" s="366"/>
      <c r="BC81" s="366"/>
      <c r="BD81" s="366"/>
      <c r="BE81" s="366"/>
      <c r="BF81" s="366"/>
      <c r="BG81" s="366"/>
      <c r="BH81" s="366"/>
      <c r="BI81" s="366"/>
      <c r="BJ81" s="366"/>
      <c r="BK81" s="366"/>
      <c r="BL81" s="366"/>
      <c r="BM81" s="366"/>
      <c r="BN81" s="366"/>
      <c r="BO81" s="366"/>
      <c r="BP81" s="366"/>
      <c r="BQ81" s="372"/>
      <c r="BR81" s="366"/>
      <c r="BS81" s="366"/>
      <c r="BT81" s="366"/>
      <c r="BU81" s="366"/>
      <c r="BV81" s="366"/>
      <c r="BW81" s="366"/>
      <c r="BX81" s="366"/>
      <c r="BY81" s="366"/>
      <c r="BZ81" s="366"/>
      <c r="CA81" s="366"/>
      <c r="CB81" s="366"/>
      <c r="CC81" s="366"/>
      <c r="CD81" s="366"/>
      <c r="CE81" s="366"/>
      <c r="CF81" s="366"/>
      <c r="CG81" s="366"/>
      <c r="CH81" s="366"/>
      <c r="CI81" s="366"/>
      <c r="CJ81" s="366"/>
      <c r="CK81" s="366"/>
      <c r="CL81" s="366"/>
      <c r="CM81" s="366"/>
      <c r="CN81" s="366"/>
      <c r="CO81" s="366"/>
      <c r="CP81" s="366"/>
      <c r="CQ81" s="366"/>
      <c r="CR81" s="366"/>
      <c r="CS81" s="366"/>
      <c r="CT81" s="366"/>
      <c r="CU81" s="366"/>
      <c r="CV81" s="366"/>
      <c r="CW81" s="366"/>
      <c r="CX81" s="366"/>
      <c r="CY81" s="366"/>
      <c r="CZ81" s="366"/>
      <c r="DA81" s="366"/>
      <c r="DB81" s="366"/>
      <c r="DC81" s="366"/>
      <c r="DD81" s="366"/>
      <c r="DE81" s="366"/>
      <c r="DF81" s="376"/>
      <c r="DG81" s="366"/>
      <c r="DH81" s="366"/>
      <c r="DI81" s="366"/>
      <c r="DJ81" s="366"/>
      <c r="DK81" s="366"/>
      <c r="DL81" s="366"/>
      <c r="DM81" s="366"/>
      <c r="DN81" s="366"/>
      <c r="DO81" s="366"/>
      <c r="DP81" s="366"/>
      <c r="DQ81" s="366"/>
      <c r="DR81" s="366"/>
      <c r="DS81" s="366"/>
      <c r="DT81" s="366"/>
      <c r="DU81" s="366"/>
      <c r="DV81" s="366"/>
      <c r="DW81" s="366"/>
      <c r="DX81" s="366"/>
    </row>
    <row r="82" spans="8:128" x14ac:dyDescent="0.2"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  <c r="AE82" s="372"/>
      <c r="AF82" s="366"/>
      <c r="AG82" s="366"/>
      <c r="AH82" s="366"/>
      <c r="AI82" s="366"/>
      <c r="AJ82" s="366"/>
      <c r="AK82" s="366"/>
      <c r="AL82" s="366"/>
      <c r="AM82" s="366"/>
      <c r="AN82" s="366"/>
      <c r="AO82" s="366"/>
      <c r="AP82" s="366"/>
      <c r="AQ82" s="366"/>
      <c r="AR82" s="366"/>
      <c r="AS82" s="366"/>
      <c r="AT82" s="366"/>
      <c r="AU82" s="366"/>
      <c r="AV82" s="366"/>
      <c r="AW82" s="366"/>
      <c r="AX82" s="366"/>
      <c r="AY82" s="374"/>
      <c r="AZ82" s="366"/>
      <c r="BA82" s="366"/>
      <c r="BB82" s="366"/>
      <c r="BC82" s="366"/>
      <c r="BD82" s="366"/>
      <c r="BE82" s="366"/>
      <c r="BF82" s="366"/>
      <c r="BG82" s="366"/>
      <c r="BH82" s="366"/>
      <c r="BI82" s="366"/>
      <c r="BJ82" s="366"/>
      <c r="BK82" s="366"/>
      <c r="BL82" s="366"/>
      <c r="BM82" s="366"/>
      <c r="BN82" s="366"/>
      <c r="BO82" s="366"/>
      <c r="BP82" s="366"/>
      <c r="BQ82" s="372"/>
      <c r="BR82" s="366"/>
      <c r="BS82" s="366"/>
      <c r="BT82" s="366"/>
      <c r="BU82" s="366"/>
      <c r="BV82" s="366"/>
      <c r="BW82" s="366"/>
      <c r="BX82" s="366"/>
      <c r="BY82" s="366"/>
      <c r="BZ82" s="366"/>
      <c r="CA82" s="366"/>
      <c r="CB82" s="366"/>
      <c r="CC82" s="366"/>
      <c r="CD82" s="366"/>
      <c r="CE82" s="366"/>
      <c r="CF82" s="366"/>
      <c r="CG82" s="366"/>
      <c r="CH82" s="366"/>
      <c r="CI82" s="366"/>
      <c r="CJ82" s="366"/>
      <c r="CK82" s="366"/>
      <c r="CL82" s="366"/>
      <c r="CM82" s="366"/>
      <c r="CN82" s="366"/>
      <c r="CO82" s="366"/>
      <c r="CP82" s="366"/>
      <c r="CQ82" s="366"/>
      <c r="CR82" s="366"/>
      <c r="CS82" s="366"/>
      <c r="CT82" s="366"/>
      <c r="CU82" s="366"/>
      <c r="CV82" s="366"/>
      <c r="CW82" s="366"/>
      <c r="CX82" s="366"/>
      <c r="CY82" s="366"/>
      <c r="CZ82" s="366"/>
      <c r="DA82" s="366"/>
      <c r="DB82" s="366"/>
      <c r="DC82" s="366"/>
      <c r="DD82" s="366"/>
      <c r="DE82" s="366"/>
      <c r="DF82" s="376"/>
      <c r="DG82" s="366"/>
      <c r="DH82" s="366"/>
      <c r="DI82" s="366"/>
      <c r="DJ82" s="366"/>
      <c r="DK82" s="366"/>
      <c r="DL82" s="366"/>
      <c r="DM82" s="366"/>
      <c r="DN82" s="366"/>
      <c r="DO82" s="366"/>
      <c r="DP82" s="366"/>
      <c r="DQ82" s="366"/>
      <c r="DR82" s="366"/>
      <c r="DS82" s="366"/>
      <c r="DT82" s="366"/>
      <c r="DU82" s="366"/>
      <c r="DV82" s="366"/>
      <c r="DW82" s="366"/>
      <c r="DX82" s="366"/>
    </row>
    <row r="83" spans="8:128" x14ac:dyDescent="0.2"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72"/>
      <c r="AF83" s="366"/>
      <c r="AG83" s="366"/>
      <c r="AH83" s="366"/>
      <c r="AI83" s="366"/>
      <c r="AJ83" s="366"/>
      <c r="AK83" s="366"/>
      <c r="AL83" s="366"/>
      <c r="AM83" s="366"/>
      <c r="AN83" s="366"/>
      <c r="AO83" s="366"/>
      <c r="AP83" s="366"/>
      <c r="AQ83" s="366"/>
      <c r="AR83" s="366"/>
      <c r="AS83" s="366"/>
      <c r="AT83" s="366"/>
      <c r="AU83" s="366"/>
      <c r="AV83" s="366"/>
      <c r="AW83" s="366"/>
      <c r="AX83" s="366"/>
      <c r="AY83" s="374"/>
      <c r="AZ83" s="366"/>
      <c r="BA83" s="366"/>
      <c r="BB83" s="366"/>
      <c r="BC83" s="366"/>
      <c r="BD83" s="366"/>
      <c r="BE83" s="366"/>
      <c r="BF83" s="366"/>
      <c r="BG83" s="366"/>
      <c r="BH83" s="366"/>
      <c r="BI83" s="366"/>
      <c r="BJ83" s="366"/>
      <c r="BK83" s="366"/>
      <c r="BL83" s="366"/>
      <c r="BM83" s="366"/>
      <c r="BN83" s="366"/>
      <c r="BO83" s="366"/>
      <c r="BP83" s="366"/>
      <c r="BQ83" s="372"/>
      <c r="BR83" s="366"/>
      <c r="BS83" s="366"/>
      <c r="BT83" s="366"/>
      <c r="BU83" s="366"/>
      <c r="BV83" s="366"/>
      <c r="BW83" s="366"/>
      <c r="BX83" s="366"/>
      <c r="BY83" s="366"/>
      <c r="BZ83" s="366"/>
      <c r="CA83" s="366"/>
      <c r="CB83" s="366"/>
      <c r="CC83" s="366"/>
      <c r="CD83" s="366"/>
      <c r="CE83" s="366"/>
      <c r="CF83" s="366"/>
      <c r="CG83" s="366"/>
      <c r="CH83" s="366"/>
      <c r="CI83" s="366"/>
      <c r="CJ83" s="366"/>
      <c r="CK83" s="366"/>
      <c r="CL83" s="366"/>
      <c r="CM83" s="366"/>
      <c r="CN83" s="366"/>
      <c r="CO83" s="366"/>
      <c r="CP83" s="366"/>
      <c r="CQ83" s="366"/>
      <c r="CR83" s="366"/>
      <c r="CS83" s="366"/>
      <c r="CT83" s="366"/>
      <c r="CU83" s="366"/>
      <c r="CV83" s="366"/>
      <c r="CW83" s="366"/>
      <c r="CX83" s="366"/>
      <c r="CY83" s="366"/>
      <c r="CZ83" s="366"/>
      <c r="DA83" s="366"/>
      <c r="DB83" s="366"/>
      <c r="DC83" s="366"/>
      <c r="DD83" s="366"/>
      <c r="DE83" s="366"/>
      <c r="DF83" s="376"/>
      <c r="DG83" s="366"/>
      <c r="DH83" s="366"/>
      <c r="DI83" s="366"/>
      <c r="DJ83" s="366"/>
      <c r="DK83" s="366"/>
      <c r="DL83" s="366"/>
      <c r="DM83" s="366"/>
      <c r="DN83" s="366"/>
      <c r="DO83" s="366"/>
      <c r="DP83" s="366"/>
      <c r="DQ83" s="366"/>
      <c r="DR83" s="366"/>
      <c r="DS83" s="366"/>
      <c r="DT83" s="366"/>
      <c r="DU83" s="366"/>
      <c r="DV83" s="366"/>
      <c r="DW83" s="366"/>
      <c r="DX83" s="366"/>
    </row>
    <row r="84" spans="8:128" x14ac:dyDescent="0.2"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  <c r="AL84" s="366"/>
      <c r="AM84" s="366"/>
      <c r="AN84" s="366"/>
      <c r="AO84" s="366"/>
      <c r="AP84" s="366"/>
      <c r="AQ84" s="366"/>
      <c r="AR84" s="366"/>
      <c r="AS84" s="366"/>
      <c r="AT84" s="366"/>
      <c r="AU84" s="366"/>
      <c r="AV84" s="366"/>
      <c r="AW84" s="375"/>
      <c r="AX84" s="560"/>
      <c r="AY84" s="560"/>
      <c r="AZ84" s="366"/>
      <c r="BA84" s="366"/>
      <c r="BB84" s="366"/>
      <c r="BC84" s="366"/>
      <c r="BD84" s="366"/>
      <c r="BE84" s="366"/>
      <c r="BF84" s="366"/>
      <c r="BG84" s="366"/>
      <c r="BH84" s="366"/>
      <c r="BI84" s="366"/>
      <c r="BJ84" s="366"/>
      <c r="BK84" s="366"/>
      <c r="BL84" s="366"/>
      <c r="BM84" s="366"/>
      <c r="BN84" s="366"/>
      <c r="BO84" s="366"/>
      <c r="BP84" s="561"/>
      <c r="BQ84" s="561"/>
      <c r="BR84" s="366"/>
      <c r="BS84" s="366"/>
      <c r="BT84" s="366"/>
      <c r="BU84" s="366"/>
      <c r="BV84" s="366"/>
      <c r="BW84" s="366"/>
      <c r="BX84" s="366"/>
      <c r="BY84" s="366"/>
      <c r="BZ84" s="366"/>
      <c r="CA84" s="366"/>
      <c r="CB84" s="366"/>
      <c r="CC84" s="366"/>
      <c r="CD84" s="366"/>
      <c r="CE84" s="366"/>
      <c r="CF84" s="366"/>
      <c r="CG84" s="366"/>
      <c r="CH84" s="366"/>
      <c r="CI84" s="366"/>
      <c r="CJ84" s="366"/>
      <c r="CK84" s="366"/>
      <c r="CL84" s="366"/>
      <c r="CM84" s="366"/>
      <c r="CN84" s="366"/>
      <c r="CO84" s="366"/>
      <c r="CP84" s="366"/>
      <c r="CQ84" s="366"/>
      <c r="CR84" s="366"/>
      <c r="CS84" s="366"/>
      <c r="CT84" s="366"/>
      <c r="CU84" s="366"/>
      <c r="CV84" s="366"/>
      <c r="CW84" s="366"/>
      <c r="CX84" s="366"/>
      <c r="CY84" s="366"/>
      <c r="CZ84" s="366"/>
      <c r="DA84" s="366"/>
      <c r="DB84" s="366"/>
      <c r="DC84" s="366"/>
      <c r="DD84" s="375"/>
      <c r="DE84" s="560"/>
      <c r="DF84" s="560"/>
      <c r="DG84" s="366"/>
      <c r="DH84" s="366"/>
      <c r="DI84" s="366"/>
      <c r="DJ84" s="366"/>
      <c r="DK84" s="366"/>
      <c r="DL84" s="366"/>
      <c r="DM84" s="366"/>
      <c r="DN84" s="366"/>
      <c r="DO84" s="366"/>
      <c r="DP84" s="366"/>
      <c r="DQ84" s="366"/>
      <c r="DR84" s="366"/>
      <c r="DS84" s="366"/>
      <c r="DT84" s="366"/>
      <c r="DU84" s="366"/>
      <c r="DV84" s="366"/>
      <c r="DW84" s="366"/>
      <c r="DX84" s="366"/>
    </row>
    <row r="85" spans="8:128" x14ac:dyDescent="0.2">
      <c r="H85" s="366"/>
      <c r="I85" s="366"/>
      <c r="J85" s="366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66"/>
      <c r="AG85" s="366"/>
      <c r="AH85" s="366"/>
      <c r="AI85" s="366"/>
      <c r="AJ85" s="366"/>
      <c r="AK85" s="366"/>
      <c r="AL85" s="366"/>
      <c r="AM85" s="366"/>
      <c r="AN85" s="366"/>
      <c r="AO85" s="366"/>
      <c r="AP85" s="366"/>
      <c r="AQ85" s="366"/>
      <c r="AR85" s="366"/>
      <c r="AS85" s="366"/>
      <c r="AT85" s="366"/>
      <c r="AU85" s="366"/>
      <c r="AV85" s="366"/>
      <c r="AW85" s="366"/>
      <c r="AX85" s="366"/>
      <c r="AY85" s="366"/>
      <c r="AZ85" s="366"/>
      <c r="BA85" s="366"/>
      <c r="BB85" s="366"/>
      <c r="BC85" s="366"/>
      <c r="BD85" s="366"/>
      <c r="BE85" s="366"/>
      <c r="BF85" s="366"/>
      <c r="BG85" s="366"/>
      <c r="BH85" s="366"/>
      <c r="BI85" s="366"/>
      <c r="BJ85" s="366"/>
      <c r="BK85" s="366"/>
      <c r="BL85" s="366"/>
      <c r="BM85" s="366"/>
      <c r="BN85" s="366"/>
      <c r="BO85" s="366"/>
      <c r="BP85" s="366"/>
      <c r="BQ85" s="366"/>
      <c r="BR85" s="366"/>
      <c r="BS85" s="366"/>
      <c r="BT85" s="366"/>
      <c r="BU85" s="366"/>
      <c r="BV85" s="366"/>
      <c r="BW85" s="366"/>
      <c r="BX85" s="366"/>
      <c r="BY85" s="366"/>
      <c r="BZ85" s="366"/>
      <c r="CA85" s="366"/>
      <c r="CB85" s="366"/>
      <c r="CC85" s="366"/>
      <c r="CD85" s="366"/>
      <c r="CE85" s="366"/>
      <c r="CF85" s="366"/>
      <c r="CG85" s="366"/>
      <c r="CH85" s="366"/>
      <c r="CI85" s="366"/>
      <c r="CJ85" s="366"/>
      <c r="CK85" s="366"/>
      <c r="CL85" s="366"/>
      <c r="CM85" s="366"/>
      <c r="CN85" s="366"/>
      <c r="CO85" s="366"/>
      <c r="CP85" s="366"/>
      <c r="CQ85" s="366"/>
      <c r="CR85" s="366"/>
      <c r="CS85" s="366"/>
      <c r="CT85" s="366"/>
      <c r="CU85" s="366"/>
      <c r="CV85" s="366"/>
      <c r="CW85" s="366"/>
      <c r="CX85" s="366"/>
      <c r="CY85" s="366"/>
      <c r="CZ85" s="366"/>
      <c r="DA85" s="366"/>
      <c r="DB85" s="366"/>
      <c r="DC85" s="366"/>
      <c r="DD85" s="366"/>
      <c r="DE85" s="366"/>
      <c r="DF85" s="366"/>
      <c r="DG85" s="366"/>
      <c r="DH85" s="366"/>
      <c r="DI85" s="366"/>
      <c r="DJ85" s="366"/>
      <c r="DK85" s="366"/>
      <c r="DL85" s="366"/>
      <c r="DM85" s="366"/>
      <c r="DN85" s="366"/>
      <c r="DO85" s="366"/>
      <c r="DP85" s="366"/>
      <c r="DQ85" s="366"/>
      <c r="DR85" s="366"/>
      <c r="DS85" s="366"/>
      <c r="DT85" s="366"/>
      <c r="DU85" s="366"/>
      <c r="DV85" s="366"/>
      <c r="DW85" s="366"/>
      <c r="DX85" s="366"/>
    </row>
    <row r="86" spans="8:128" x14ac:dyDescent="0.2">
      <c r="H86" s="366"/>
      <c r="I86" s="366"/>
      <c r="J86" s="366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  <c r="AE86" s="366"/>
      <c r="AF86" s="366"/>
      <c r="AG86" s="366"/>
      <c r="AH86" s="366"/>
      <c r="AI86" s="366"/>
      <c r="AJ86" s="366"/>
      <c r="AK86" s="366"/>
      <c r="AL86" s="366"/>
      <c r="AM86" s="366"/>
      <c r="AN86" s="366"/>
      <c r="AO86" s="366"/>
      <c r="AP86" s="366"/>
      <c r="AQ86" s="366"/>
      <c r="AR86" s="366"/>
      <c r="AS86" s="366"/>
      <c r="AT86" s="366"/>
      <c r="AU86" s="366"/>
      <c r="AV86" s="366"/>
      <c r="AW86" s="366"/>
      <c r="AX86" s="366"/>
      <c r="AY86" s="366"/>
      <c r="AZ86" s="366"/>
      <c r="BA86" s="366"/>
      <c r="BB86" s="366"/>
      <c r="BC86" s="366"/>
      <c r="BD86" s="366"/>
      <c r="BE86" s="366"/>
      <c r="BF86" s="366"/>
      <c r="BG86" s="366"/>
      <c r="BH86" s="366"/>
      <c r="BI86" s="366"/>
      <c r="BJ86" s="366"/>
      <c r="BK86" s="366"/>
      <c r="BL86" s="366"/>
      <c r="BM86" s="366"/>
      <c r="BN86" s="366"/>
      <c r="BO86" s="366"/>
      <c r="BP86" s="366"/>
      <c r="BQ86" s="369"/>
      <c r="BR86" s="369"/>
      <c r="BS86" s="369"/>
      <c r="BT86" s="366"/>
      <c r="BU86" s="366"/>
      <c r="BV86" s="366"/>
      <c r="BW86" s="366"/>
      <c r="BX86" s="366"/>
      <c r="BY86" s="366"/>
      <c r="BZ86" s="366"/>
      <c r="CA86" s="366"/>
      <c r="CB86" s="366"/>
      <c r="CC86" s="366"/>
      <c r="CD86" s="366"/>
      <c r="CE86" s="366"/>
      <c r="CF86" s="366"/>
      <c r="CG86" s="366"/>
      <c r="CH86" s="366"/>
      <c r="CI86" s="366"/>
      <c r="CJ86" s="369"/>
      <c r="CK86" s="366"/>
      <c r="CL86" s="366"/>
      <c r="CM86" s="366"/>
      <c r="CN86" s="366"/>
      <c r="CO86" s="366"/>
      <c r="CP86" s="366"/>
      <c r="CQ86" s="366"/>
      <c r="CR86" s="366"/>
      <c r="CS86" s="366"/>
      <c r="CT86" s="366"/>
      <c r="CU86" s="366"/>
      <c r="CV86" s="366"/>
      <c r="CW86" s="366"/>
      <c r="CX86" s="366"/>
      <c r="CY86" s="366"/>
      <c r="CZ86" s="366"/>
      <c r="DA86" s="366"/>
      <c r="DB86" s="366"/>
      <c r="DC86" s="366"/>
      <c r="DD86" s="366"/>
      <c r="DE86" s="366"/>
      <c r="DF86" s="366"/>
      <c r="DG86" s="366"/>
      <c r="DH86" s="366"/>
      <c r="DI86" s="366"/>
      <c r="DJ86" s="366"/>
      <c r="DK86" s="366"/>
      <c r="DL86" s="366"/>
      <c r="DM86" s="366"/>
      <c r="DN86" s="366"/>
      <c r="DO86" s="366"/>
      <c r="DP86" s="366"/>
      <c r="DQ86" s="366"/>
      <c r="DR86" s="366"/>
      <c r="DS86" s="366"/>
      <c r="DT86" s="366"/>
      <c r="DU86" s="366"/>
      <c r="DV86" s="366"/>
      <c r="DW86" s="366"/>
      <c r="DX86" s="366"/>
    </row>
    <row r="87" spans="8:128" x14ac:dyDescent="0.2">
      <c r="H87" s="366"/>
      <c r="I87" s="366"/>
      <c r="J87" s="366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6"/>
      <c r="AE87" s="366"/>
      <c r="AF87" s="366"/>
      <c r="AG87" s="366"/>
      <c r="AH87" s="366"/>
      <c r="AI87" s="366"/>
      <c r="AJ87" s="366"/>
      <c r="AK87" s="366"/>
      <c r="AL87" s="366"/>
      <c r="AM87" s="366"/>
      <c r="AN87" s="366"/>
      <c r="AO87" s="366"/>
      <c r="AP87" s="366"/>
      <c r="AQ87" s="366"/>
      <c r="AR87" s="366"/>
      <c r="AS87" s="366"/>
      <c r="AT87" s="366"/>
      <c r="AU87" s="366"/>
      <c r="AV87" s="366"/>
      <c r="AW87" s="366"/>
      <c r="AX87" s="366"/>
      <c r="AY87" s="366"/>
      <c r="AZ87" s="366"/>
      <c r="BA87" s="366"/>
      <c r="BB87" s="366"/>
      <c r="BC87" s="366"/>
      <c r="BD87" s="366"/>
      <c r="BE87" s="366"/>
      <c r="BF87" s="366"/>
      <c r="BG87" s="366"/>
      <c r="BH87" s="366"/>
      <c r="BI87" s="366"/>
      <c r="BJ87" s="366"/>
      <c r="BK87" s="366"/>
      <c r="BL87" s="366"/>
      <c r="BM87" s="366"/>
      <c r="BN87" s="366"/>
      <c r="BO87" s="366"/>
      <c r="BP87" s="366"/>
      <c r="BQ87" s="374"/>
      <c r="BR87" s="366"/>
      <c r="BS87" s="374"/>
      <c r="BT87" s="366"/>
      <c r="BU87" s="366"/>
      <c r="BV87" s="366"/>
      <c r="BW87" s="366"/>
      <c r="BX87" s="366"/>
      <c r="BY87" s="366"/>
      <c r="BZ87" s="366"/>
      <c r="CA87" s="366"/>
      <c r="CB87" s="366"/>
      <c r="CC87" s="366"/>
      <c r="CD87" s="366"/>
      <c r="CE87" s="366"/>
      <c r="CF87" s="366"/>
      <c r="CG87" s="366"/>
      <c r="CH87" s="366"/>
      <c r="CI87" s="366"/>
      <c r="CJ87" s="366"/>
      <c r="CK87" s="366"/>
      <c r="CL87" s="366"/>
      <c r="CM87" s="366"/>
      <c r="CN87" s="366"/>
      <c r="CO87" s="366"/>
      <c r="CP87" s="366"/>
      <c r="CQ87" s="366"/>
      <c r="CR87" s="366"/>
      <c r="CS87" s="366"/>
      <c r="CT87" s="366"/>
      <c r="CU87" s="366"/>
      <c r="CV87" s="366"/>
      <c r="CW87" s="366"/>
      <c r="CX87" s="366"/>
      <c r="CY87" s="366"/>
      <c r="CZ87" s="366"/>
      <c r="DA87" s="366"/>
      <c r="DB87" s="366"/>
      <c r="DC87" s="366"/>
      <c r="DD87" s="366"/>
      <c r="DE87" s="366"/>
      <c r="DF87" s="366"/>
      <c r="DG87" s="366"/>
      <c r="DH87" s="366"/>
      <c r="DI87" s="366"/>
      <c r="DJ87" s="366"/>
      <c r="DK87" s="366"/>
      <c r="DL87" s="366"/>
      <c r="DM87" s="366"/>
      <c r="DN87" s="366"/>
      <c r="DO87" s="366"/>
      <c r="DP87" s="366"/>
      <c r="DQ87" s="366"/>
      <c r="DR87" s="366"/>
      <c r="DS87" s="366"/>
      <c r="DT87" s="366"/>
      <c r="DU87" s="366"/>
      <c r="DV87" s="366"/>
      <c r="DW87" s="366"/>
      <c r="DX87" s="366"/>
    </row>
    <row r="88" spans="8:128" x14ac:dyDescent="0.2">
      <c r="H88" s="366"/>
      <c r="I88" s="366"/>
      <c r="J88" s="366"/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  <c r="AC88" s="366"/>
      <c r="AD88" s="366"/>
      <c r="AE88" s="366"/>
      <c r="AF88" s="366"/>
      <c r="AG88" s="366"/>
      <c r="AH88" s="366"/>
      <c r="AI88" s="366"/>
      <c r="AJ88" s="366"/>
      <c r="AK88" s="366"/>
      <c r="AL88" s="366"/>
      <c r="AM88" s="366"/>
      <c r="AN88" s="366"/>
      <c r="AO88" s="366"/>
      <c r="AP88" s="366"/>
      <c r="AQ88" s="366"/>
      <c r="AR88" s="366"/>
      <c r="AS88" s="366"/>
      <c r="AT88" s="366"/>
      <c r="AU88" s="366"/>
      <c r="AV88" s="366"/>
      <c r="AW88" s="366"/>
      <c r="AX88" s="366"/>
      <c r="AY88" s="366"/>
      <c r="AZ88" s="366"/>
      <c r="BA88" s="366"/>
      <c r="BB88" s="366"/>
      <c r="BC88" s="366"/>
      <c r="BD88" s="366"/>
      <c r="BE88" s="366"/>
      <c r="BF88" s="366"/>
      <c r="BG88" s="366"/>
      <c r="BH88" s="366"/>
      <c r="BI88" s="366"/>
      <c r="BJ88" s="366"/>
      <c r="BK88" s="366"/>
      <c r="BL88" s="366"/>
      <c r="BM88" s="366"/>
      <c r="BN88" s="366"/>
      <c r="BO88" s="366"/>
      <c r="BP88" s="366"/>
      <c r="BQ88" s="374"/>
      <c r="BR88" s="366"/>
      <c r="BS88" s="374"/>
      <c r="BT88" s="366"/>
      <c r="BU88" s="366"/>
      <c r="BV88" s="366"/>
      <c r="BW88" s="366"/>
      <c r="BX88" s="366"/>
      <c r="BY88" s="366"/>
      <c r="BZ88" s="366"/>
      <c r="CA88" s="366"/>
      <c r="CB88" s="366"/>
      <c r="CC88" s="366"/>
      <c r="CD88" s="366"/>
      <c r="CE88" s="366"/>
      <c r="CF88" s="366"/>
      <c r="CG88" s="366"/>
      <c r="CH88" s="366"/>
      <c r="CI88" s="366"/>
      <c r="CJ88" s="366"/>
      <c r="CK88" s="366"/>
      <c r="CL88" s="366"/>
      <c r="CM88" s="366"/>
      <c r="CN88" s="366"/>
      <c r="CO88" s="366"/>
      <c r="CP88" s="366"/>
      <c r="CQ88" s="366"/>
      <c r="CR88" s="366"/>
      <c r="CS88" s="366"/>
      <c r="CT88" s="366"/>
      <c r="CU88" s="366"/>
      <c r="CV88" s="366"/>
      <c r="CW88" s="366"/>
      <c r="CX88" s="366"/>
      <c r="CY88" s="366"/>
      <c r="CZ88" s="366"/>
      <c r="DA88" s="366"/>
      <c r="DB88" s="366"/>
      <c r="DC88" s="366"/>
      <c r="DD88" s="366"/>
      <c r="DE88" s="366"/>
      <c r="DF88" s="366"/>
      <c r="DG88" s="366"/>
      <c r="DH88" s="366"/>
      <c r="DI88" s="366"/>
      <c r="DJ88" s="366"/>
      <c r="DK88" s="366"/>
      <c r="DL88" s="366"/>
      <c r="DM88" s="366"/>
      <c r="DN88" s="366"/>
      <c r="DO88" s="366"/>
      <c r="DP88" s="366"/>
      <c r="DQ88" s="366"/>
      <c r="DR88" s="366"/>
      <c r="DS88" s="366"/>
      <c r="DT88" s="366"/>
      <c r="DU88" s="366"/>
      <c r="DV88" s="366"/>
      <c r="DW88" s="366"/>
      <c r="DX88" s="366"/>
    </row>
    <row r="89" spans="8:128" x14ac:dyDescent="0.2">
      <c r="H89" s="366"/>
      <c r="I89" s="366"/>
      <c r="J89" s="366"/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  <c r="AE89" s="366"/>
      <c r="AF89" s="366"/>
      <c r="AG89" s="366"/>
      <c r="AH89" s="366"/>
      <c r="AI89" s="366"/>
      <c r="AJ89" s="366"/>
      <c r="AK89" s="366"/>
      <c r="AL89" s="366"/>
      <c r="AM89" s="366"/>
      <c r="AN89" s="366"/>
      <c r="AO89" s="366"/>
      <c r="AP89" s="366"/>
      <c r="AQ89" s="366"/>
      <c r="AR89" s="366"/>
      <c r="AS89" s="366"/>
      <c r="AT89" s="366"/>
      <c r="AU89" s="366"/>
      <c r="AV89" s="366"/>
      <c r="AW89" s="366"/>
      <c r="AX89" s="366"/>
      <c r="AY89" s="366"/>
      <c r="AZ89" s="366"/>
      <c r="BA89" s="366"/>
      <c r="BB89" s="366"/>
      <c r="BC89" s="366"/>
      <c r="BD89" s="366"/>
      <c r="BE89" s="366"/>
      <c r="BF89" s="366"/>
      <c r="BG89" s="366"/>
      <c r="BH89" s="366"/>
      <c r="BI89" s="366"/>
      <c r="BJ89" s="366"/>
      <c r="BK89" s="366"/>
      <c r="BL89" s="366"/>
      <c r="BM89" s="366"/>
      <c r="BN89" s="366"/>
      <c r="BO89" s="366"/>
      <c r="BP89" s="366"/>
      <c r="BQ89" s="374"/>
      <c r="BR89" s="366"/>
      <c r="BS89" s="374"/>
      <c r="BT89" s="366"/>
      <c r="BU89" s="366"/>
      <c r="BV89" s="366"/>
      <c r="BW89" s="366"/>
      <c r="BX89" s="366"/>
      <c r="BY89" s="366"/>
      <c r="BZ89" s="366"/>
      <c r="CA89" s="366"/>
      <c r="CB89" s="366"/>
      <c r="CC89" s="366"/>
      <c r="CD89" s="366"/>
      <c r="CE89" s="366"/>
      <c r="CF89" s="366"/>
      <c r="CG89" s="366"/>
      <c r="CH89" s="366"/>
      <c r="CI89" s="366"/>
      <c r="CJ89" s="366"/>
      <c r="CK89" s="366"/>
      <c r="CL89" s="366"/>
      <c r="CM89" s="366"/>
      <c r="CN89" s="366"/>
      <c r="CO89" s="366"/>
      <c r="CP89" s="366"/>
      <c r="CQ89" s="366"/>
      <c r="CR89" s="366"/>
      <c r="CS89" s="366"/>
      <c r="CT89" s="366"/>
      <c r="CU89" s="366"/>
      <c r="CV89" s="366"/>
      <c r="CW89" s="366"/>
      <c r="CX89" s="366"/>
      <c r="CY89" s="366"/>
      <c r="CZ89" s="366"/>
      <c r="DA89" s="366"/>
      <c r="DB89" s="366"/>
      <c r="DC89" s="366"/>
      <c r="DD89" s="366"/>
      <c r="DE89" s="366"/>
      <c r="DF89" s="366"/>
      <c r="DG89" s="366"/>
      <c r="DH89" s="366"/>
      <c r="DI89" s="366"/>
      <c r="DJ89" s="366"/>
      <c r="DK89" s="366"/>
      <c r="DL89" s="366"/>
      <c r="DM89" s="366"/>
      <c r="DN89" s="366"/>
      <c r="DO89" s="366"/>
      <c r="DP89" s="366"/>
      <c r="DQ89" s="366"/>
      <c r="DR89" s="366"/>
      <c r="DS89" s="366"/>
      <c r="DT89" s="366"/>
      <c r="DU89" s="366"/>
      <c r="DV89" s="366"/>
      <c r="DW89" s="366"/>
      <c r="DX89" s="366"/>
    </row>
    <row r="90" spans="8:128" x14ac:dyDescent="0.2">
      <c r="H90" s="366"/>
      <c r="I90" s="366"/>
      <c r="J90" s="366"/>
      <c r="K90" s="366"/>
      <c r="L90" s="366"/>
      <c r="M90" s="366"/>
      <c r="N90" s="366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6"/>
      <c r="AE90" s="366"/>
      <c r="AF90" s="366"/>
      <c r="AG90" s="366"/>
      <c r="AH90" s="366"/>
      <c r="AI90" s="366"/>
      <c r="AJ90" s="366"/>
      <c r="AK90" s="366"/>
      <c r="AL90" s="366"/>
      <c r="AM90" s="366"/>
      <c r="AN90" s="366"/>
      <c r="AO90" s="366"/>
      <c r="AP90" s="366"/>
      <c r="AQ90" s="366"/>
      <c r="AR90" s="366"/>
      <c r="AS90" s="366"/>
      <c r="AT90" s="366"/>
      <c r="AU90" s="366"/>
      <c r="AV90" s="366"/>
      <c r="AW90" s="366"/>
      <c r="AX90" s="366"/>
      <c r="AY90" s="366"/>
      <c r="AZ90" s="366"/>
      <c r="BA90" s="366"/>
      <c r="BB90" s="366"/>
      <c r="BC90" s="366"/>
      <c r="BD90" s="366"/>
      <c r="BE90" s="366"/>
      <c r="BF90" s="366"/>
      <c r="BG90" s="366"/>
      <c r="BH90" s="366"/>
      <c r="BI90" s="366"/>
      <c r="BJ90" s="366"/>
      <c r="BK90" s="366"/>
      <c r="BL90" s="366"/>
      <c r="BM90" s="366"/>
      <c r="BN90" s="366"/>
      <c r="BO90" s="366"/>
      <c r="BP90" s="366"/>
      <c r="BQ90" s="374"/>
      <c r="BR90" s="366"/>
      <c r="BS90" s="374"/>
      <c r="BT90" s="366"/>
      <c r="BU90" s="366"/>
      <c r="BV90" s="366"/>
      <c r="BW90" s="366"/>
      <c r="BX90" s="366"/>
      <c r="BY90" s="366"/>
      <c r="BZ90" s="366"/>
      <c r="CA90" s="366"/>
      <c r="CB90" s="366"/>
      <c r="CC90" s="366"/>
      <c r="CD90" s="366"/>
      <c r="CE90" s="366"/>
      <c r="CF90" s="366"/>
      <c r="CG90" s="366"/>
      <c r="CH90" s="366"/>
      <c r="CI90" s="366"/>
      <c r="CJ90" s="366"/>
      <c r="CK90" s="366"/>
      <c r="CL90" s="366"/>
      <c r="CM90" s="366"/>
      <c r="CN90" s="366"/>
      <c r="CO90" s="366"/>
      <c r="CP90" s="366"/>
      <c r="CQ90" s="366"/>
      <c r="CR90" s="366"/>
      <c r="CS90" s="366"/>
      <c r="CT90" s="366"/>
      <c r="CU90" s="366"/>
      <c r="CV90" s="366"/>
      <c r="CW90" s="366"/>
      <c r="CX90" s="366"/>
      <c r="CY90" s="366"/>
      <c r="CZ90" s="366"/>
      <c r="DA90" s="366"/>
      <c r="DB90" s="366"/>
      <c r="DC90" s="366"/>
      <c r="DD90" s="366"/>
      <c r="DE90" s="366"/>
      <c r="DF90" s="366"/>
      <c r="DG90" s="366"/>
      <c r="DH90" s="366"/>
      <c r="DI90" s="366"/>
      <c r="DJ90" s="366"/>
      <c r="DK90" s="366"/>
      <c r="DL90" s="366"/>
      <c r="DM90" s="366"/>
      <c r="DN90" s="366"/>
      <c r="DO90" s="366"/>
      <c r="DP90" s="366"/>
      <c r="DQ90" s="366"/>
      <c r="DR90" s="366"/>
      <c r="DS90" s="366"/>
      <c r="DT90" s="366"/>
      <c r="DU90" s="366"/>
      <c r="DV90" s="366"/>
      <c r="DW90" s="366"/>
      <c r="DX90" s="366"/>
    </row>
    <row r="91" spans="8:128" x14ac:dyDescent="0.2">
      <c r="H91" s="366"/>
      <c r="I91" s="366"/>
      <c r="J91" s="366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  <c r="AE91" s="366"/>
      <c r="AF91" s="366"/>
      <c r="AG91" s="366"/>
      <c r="AH91" s="366"/>
      <c r="AI91" s="366"/>
      <c r="AJ91" s="366"/>
      <c r="AK91" s="366"/>
      <c r="AL91" s="366"/>
      <c r="AM91" s="366"/>
      <c r="AN91" s="366"/>
      <c r="AO91" s="366"/>
      <c r="AP91" s="366"/>
      <c r="AQ91" s="366"/>
      <c r="AR91" s="366"/>
      <c r="AS91" s="366"/>
      <c r="AT91" s="366"/>
      <c r="AU91" s="366"/>
      <c r="AV91" s="366"/>
      <c r="AW91" s="366"/>
      <c r="AX91" s="366"/>
      <c r="AY91" s="366"/>
      <c r="AZ91" s="366"/>
      <c r="BA91" s="366"/>
      <c r="BB91" s="366"/>
      <c r="BC91" s="366"/>
      <c r="BD91" s="366"/>
      <c r="BE91" s="366"/>
      <c r="BF91" s="366"/>
      <c r="BG91" s="366"/>
      <c r="BH91" s="366"/>
      <c r="BI91" s="366"/>
      <c r="BJ91" s="366"/>
      <c r="BK91" s="366"/>
      <c r="BL91" s="366"/>
      <c r="BM91" s="366"/>
      <c r="BN91" s="366"/>
      <c r="BO91" s="366"/>
      <c r="BP91" s="366"/>
      <c r="BQ91" s="374"/>
      <c r="BR91" s="366"/>
      <c r="BS91" s="374"/>
      <c r="BT91" s="366"/>
      <c r="BU91" s="366"/>
      <c r="BV91" s="366"/>
      <c r="BW91" s="366"/>
      <c r="BX91" s="366"/>
      <c r="BY91" s="366"/>
      <c r="BZ91" s="366"/>
      <c r="CA91" s="366"/>
      <c r="CB91" s="366"/>
      <c r="CC91" s="366"/>
      <c r="CD91" s="366"/>
      <c r="CE91" s="366"/>
      <c r="CF91" s="366"/>
      <c r="CG91" s="366"/>
      <c r="CH91" s="366"/>
      <c r="CI91" s="366"/>
      <c r="CJ91" s="366"/>
      <c r="CK91" s="366"/>
      <c r="CL91" s="366"/>
      <c r="CM91" s="366"/>
      <c r="CN91" s="366"/>
      <c r="CO91" s="366"/>
      <c r="CP91" s="366"/>
      <c r="CQ91" s="366"/>
      <c r="CR91" s="366"/>
      <c r="CS91" s="366"/>
      <c r="CT91" s="366"/>
      <c r="CU91" s="366"/>
      <c r="CV91" s="366"/>
      <c r="CW91" s="366"/>
      <c r="CX91" s="366"/>
      <c r="CY91" s="366"/>
      <c r="CZ91" s="366"/>
      <c r="DA91" s="366"/>
      <c r="DB91" s="366"/>
      <c r="DC91" s="366"/>
      <c r="DD91" s="366"/>
      <c r="DE91" s="366"/>
      <c r="DF91" s="366"/>
      <c r="DG91" s="366"/>
      <c r="DH91" s="366"/>
      <c r="DI91" s="366"/>
      <c r="DJ91" s="366"/>
      <c r="DK91" s="366"/>
      <c r="DL91" s="366"/>
      <c r="DM91" s="366"/>
      <c r="DN91" s="366"/>
      <c r="DO91" s="366"/>
      <c r="DP91" s="366"/>
      <c r="DQ91" s="366"/>
      <c r="DR91" s="366"/>
      <c r="DS91" s="366"/>
      <c r="DT91" s="366"/>
      <c r="DU91" s="366"/>
      <c r="DV91" s="366"/>
      <c r="DW91" s="366"/>
      <c r="DX91" s="366"/>
    </row>
    <row r="92" spans="8:128" x14ac:dyDescent="0.2">
      <c r="H92" s="366"/>
      <c r="I92" s="366"/>
      <c r="J92" s="366"/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366"/>
      <c r="AE92" s="366"/>
      <c r="AF92" s="366"/>
      <c r="AG92" s="366"/>
      <c r="AH92" s="366"/>
      <c r="AI92" s="366"/>
      <c r="AJ92" s="366"/>
      <c r="AK92" s="366"/>
      <c r="AL92" s="366"/>
      <c r="AM92" s="366"/>
      <c r="AN92" s="366"/>
      <c r="AO92" s="366"/>
      <c r="AP92" s="366"/>
      <c r="AQ92" s="366"/>
      <c r="AR92" s="366"/>
      <c r="AS92" s="366"/>
      <c r="AT92" s="366"/>
      <c r="AU92" s="366"/>
      <c r="AV92" s="366"/>
      <c r="AW92" s="366"/>
      <c r="AX92" s="366"/>
      <c r="AY92" s="366"/>
      <c r="AZ92" s="366"/>
      <c r="BA92" s="366"/>
      <c r="BB92" s="366"/>
      <c r="BC92" s="366"/>
      <c r="BD92" s="366"/>
      <c r="BE92" s="366"/>
      <c r="BF92" s="366"/>
      <c r="BG92" s="366"/>
      <c r="BH92" s="366"/>
      <c r="BI92" s="366"/>
      <c r="BJ92" s="366"/>
      <c r="BK92" s="366"/>
      <c r="BL92" s="366"/>
      <c r="BM92" s="366"/>
      <c r="BN92" s="366"/>
      <c r="BO92" s="366"/>
      <c r="BP92" s="366"/>
      <c r="BQ92" s="374"/>
      <c r="BR92" s="366"/>
      <c r="BS92" s="374"/>
      <c r="BT92" s="366"/>
      <c r="BU92" s="366"/>
      <c r="BV92" s="366"/>
      <c r="BW92" s="366"/>
      <c r="BX92" s="366"/>
      <c r="BY92" s="366"/>
      <c r="BZ92" s="366"/>
      <c r="CA92" s="366"/>
      <c r="CB92" s="366"/>
      <c r="CC92" s="366"/>
      <c r="CD92" s="366"/>
      <c r="CE92" s="366"/>
      <c r="CF92" s="366"/>
      <c r="CG92" s="366"/>
      <c r="CH92" s="366"/>
      <c r="CI92" s="366"/>
      <c r="CJ92" s="366"/>
      <c r="CK92" s="366"/>
      <c r="CL92" s="366"/>
      <c r="CM92" s="366"/>
      <c r="CN92" s="366"/>
      <c r="CO92" s="366"/>
      <c r="CP92" s="366"/>
      <c r="CQ92" s="366"/>
      <c r="CR92" s="366"/>
      <c r="CS92" s="366"/>
      <c r="CT92" s="366"/>
      <c r="CU92" s="366"/>
      <c r="CV92" s="366"/>
      <c r="CW92" s="366"/>
      <c r="CX92" s="366"/>
      <c r="CY92" s="366"/>
      <c r="CZ92" s="366"/>
      <c r="DA92" s="366"/>
      <c r="DB92" s="366"/>
      <c r="DC92" s="366"/>
      <c r="DD92" s="366"/>
      <c r="DE92" s="366"/>
      <c r="DF92" s="366"/>
      <c r="DG92" s="366"/>
      <c r="DH92" s="366"/>
      <c r="DI92" s="366"/>
      <c r="DJ92" s="366"/>
      <c r="DK92" s="366"/>
      <c r="DL92" s="366"/>
      <c r="DM92" s="366"/>
      <c r="DN92" s="366"/>
      <c r="DO92" s="366"/>
      <c r="DP92" s="366"/>
      <c r="DQ92" s="366"/>
      <c r="DR92" s="366"/>
      <c r="DS92" s="366"/>
      <c r="DT92" s="366"/>
      <c r="DU92" s="366"/>
      <c r="DV92" s="366"/>
      <c r="DW92" s="366"/>
      <c r="DX92" s="366"/>
    </row>
    <row r="93" spans="8:128" x14ac:dyDescent="0.2">
      <c r="H93" s="366"/>
      <c r="I93" s="366"/>
      <c r="J93" s="366"/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  <c r="AC93" s="366"/>
      <c r="AD93" s="366"/>
      <c r="AE93" s="366"/>
      <c r="AF93" s="366"/>
      <c r="AG93" s="366"/>
      <c r="AH93" s="366"/>
      <c r="AI93" s="366"/>
      <c r="AJ93" s="366"/>
      <c r="AK93" s="366"/>
      <c r="AL93" s="366"/>
      <c r="AM93" s="366"/>
      <c r="AN93" s="366"/>
      <c r="AO93" s="366"/>
      <c r="AP93" s="366"/>
      <c r="AQ93" s="366"/>
      <c r="AR93" s="366"/>
      <c r="AS93" s="366"/>
      <c r="AT93" s="366"/>
      <c r="AU93" s="366"/>
      <c r="AV93" s="366"/>
      <c r="AW93" s="366"/>
      <c r="AX93" s="366"/>
      <c r="AY93" s="366"/>
      <c r="AZ93" s="366"/>
      <c r="BA93" s="366"/>
      <c r="BB93" s="366"/>
      <c r="BC93" s="366"/>
      <c r="BD93" s="366"/>
      <c r="BE93" s="366"/>
      <c r="BF93" s="366"/>
      <c r="BG93" s="366"/>
      <c r="BH93" s="366"/>
      <c r="BI93" s="366"/>
      <c r="BJ93" s="366"/>
      <c r="BK93" s="366"/>
      <c r="BL93" s="366"/>
      <c r="BM93" s="366"/>
      <c r="BN93" s="366"/>
      <c r="BO93" s="366"/>
      <c r="BP93" s="366"/>
      <c r="BQ93" s="374"/>
      <c r="BR93" s="374"/>
      <c r="BS93" s="366"/>
      <c r="BT93" s="366"/>
      <c r="BU93" s="366"/>
      <c r="BV93" s="366"/>
      <c r="BW93" s="366"/>
      <c r="BX93" s="366"/>
      <c r="BY93" s="366"/>
      <c r="BZ93" s="366"/>
      <c r="CA93" s="366"/>
      <c r="CB93" s="366"/>
      <c r="CC93" s="366"/>
      <c r="CD93" s="366"/>
      <c r="CE93" s="366"/>
      <c r="CF93" s="366"/>
      <c r="CG93" s="366"/>
      <c r="CH93" s="366"/>
      <c r="CI93" s="366"/>
      <c r="CJ93" s="374"/>
      <c r="CK93" s="366"/>
      <c r="CL93" s="366"/>
      <c r="CM93" s="366"/>
      <c r="CN93" s="366"/>
      <c r="CO93" s="366"/>
      <c r="CP93" s="366"/>
      <c r="CQ93" s="366"/>
      <c r="CR93" s="366"/>
      <c r="CS93" s="366"/>
      <c r="CT93" s="366"/>
      <c r="CU93" s="366"/>
      <c r="CV93" s="366"/>
      <c r="CW93" s="366"/>
      <c r="CX93" s="366"/>
      <c r="CY93" s="366"/>
      <c r="CZ93" s="366"/>
      <c r="DA93" s="366"/>
      <c r="DB93" s="366"/>
      <c r="DC93" s="366"/>
      <c r="DD93" s="366"/>
      <c r="DE93" s="366"/>
      <c r="DF93" s="366"/>
      <c r="DG93" s="366"/>
      <c r="DH93" s="366"/>
      <c r="DI93" s="366"/>
      <c r="DJ93" s="366"/>
      <c r="DK93" s="366"/>
      <c r="DL93" s="366"/>
      <c r="DM93" s="366"/>
      <c r="DN93" s="366"/>
      <c r="DO93" s="366"/>
      <c r="DP93" s="366"/>
      <c r="DQ93" s="366"/>
      <c r="DR93" s="366"/>
      <c r="DS93" s="366"/>
      <c r="DT93" s="366"/>
      <c r="DU93" s="366"/>
      <c r="DV93" s="366"/>
      <c r="DW93" s="366"/>
      <c r="DX93" s="366"/>
    </row>
    <row r="94" spans="8:128" x14ac:dyDescent="0.2">
      <c r="H94" s="366"/>
      <c r="I94" s="366"/>
      <c r="J94" s="366"/>
      <c r="K94" s="366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  <c r="AA94" s="366"/>
      <c r="AB94" s="366"/>
      <c r="AC94" s="366"/>
      <c r="AD94" s="366"/>
      <c r="AE94" s="366"/>
      <c r="AF94" s="366"/>
      <c r="AG94" s="366"/>
      <c r="AH94" s="366"/>
      <c r="AI94" s="366"/>
      <c r="AJ94" s="366"/>
      <c r="AK94" s="366"/>
      <c r="AL94" s="366"/>
      <c r="AM94" s="366"/>
      <c r="AN94" s="366"/>
      <c r="AO94" s="366"/>
      <c r="AP94" s="366"/>
      <c r="AQ94" s="366"/>
      <c r="AR94" s="366"/>
      <c r="AS94" s="366"/>
      <c r="AT94" s="366"/>
      <c r="AU94" s="366"/>
      <c r="AV94" s="366"/>
      <c r="AW94" s="366"/>
      <c r="AX94" s="366"/>
      <c r="AY94" s="366"/>
      <c r="AZ94" s="366"/>
      <c r="BA94" s="366"/>
      <c r="BB94" s="366"/>
      <c r="BC94" s="366"/>
      <c r="BD94" s="366"/>
      <c r="BE94" s="366"/>
      <c r="BF94" s="366"/>
      <c r="BG94" s="366"/>
      <c r="BH94" s="366"/>
      <c r="BI94" s="366"/>
      <c r="BJ94" s="366"/>
      <c r="BK94" s="366"/>
      <c r="BL94" s="366"/>
      <c r="BM94" s="366"/>
      <c r="BN94" s="366"/>
      <c r="BO94" s="366"/>
      <c r="BP94" s="366"/>
      <c r="BQ94" s="366"/>
      <c r="BR94" s="374"/>
      <c r="BS94" s="366"/>
      <c r="BT94" s="366"/>
      <c r="BU94" s="366"/>
      <c r="BV94" s="366"/>
      <c r="BW94" s="366"/>
      <c r="BX94" s="366"/>
      <c r="BY94" s="366"/>
      <c r="BZ94" s="366"/>
      <c r="CA94" s="366"/>
      <c r="CB94" s="366"/>
      <c r="CC94" s="366"/>
      <c r="CD94" s="366"/>
      <c r="CE94" s="366"/>
      <c r="CF94" s="366"/>
      <c r="CG94" s="366"/>
      <c r="CH94" s="366"/>
      <c r="CI94" s="366"/>
      <c r="CJ94" s="374"/>
      <c r="CK94" s="366"/>
      <c r="CL94" s="366"/>
      <c r="CM94" s="366"/>
      <c r="CN94" s="366"/>
      <c r="CO94" s="366"/>
      <c r="CP94" s="366"/>
      <c r="CQ94" s="366"/>
      <c r="CR94" s="366"/>
      <c r="CS94" s="366"/>
      <c r="CT94" s="366"/>
      <c r="CU94" s="366"/>
      <c r="CV94" s="366"/>
      <c r="CW94" s="366"/>
      <c r="CX94" s="366"/>
      <c r="CY94" s="366"/>
      <c r="CZ94" s="366"/>
      <c r="DA94" s="366"/>
      <c r="DB94" s="366"/>
      <c r="DC94" s="366"/>
      <c r="DD94" s="366"/>
      <c r="DE94" s="366"/>
      <c r="DF94" s="366"/>
      <c r="DG94" s="366"/>
      <c r="DH94" s="366"/>
      <c r="DI94" s="366"/>
      <c r="DJ94" s="366"/>
      <c r="DK94" s="366"/>
      <c r="DL94" s="366"/>
      <c r="DM94" s="366"/>
      <c r="DN94" s="366"/>
      <c r="DO94" s="366"/>
      <c r="DP94" s="366"/>
      <c r="DQ94" s="366"/>
      <c r="DR94" s="366"/>
      <c r="DS94" s="366"/>
      <c r="DT94" s="366"/>
      <c r="DU94" s="366"/>
      <c r="DV94" s="366"/>
      <c r="DW94" s="366"/>
      <c r="DX94" s="366"/>
    </row>
    <row r="95" spans="8:128" x14ac:dyDescent="0.2">
      <c r="H95" s="366"/>
      <c r="I95" s="366"/>
      <c r="J95" s="366"/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  <c r="AC95" s="366"/>
      <c r="AD95" s="366"/>
      <c r="AE95" s="366"/>
      <c r="AF95" s="366"/>
      <c r="AG95" s="366"/>
      <c r="AH95" s="366"/>
      <c r="AI95" s="366"/>
      <c r="AJ95" s="366"/>
      <c r="AK95" s="366"/>
      <c r="AL95" s="366"/>
      <c r="AM95" s="366"/>
      <c r="AN95" s="366"/>
      <c r="AO95" s="366"/>
      <c r="AP95" s="366"/>
      <c r="AQ95" s="366"/>
      <c r="AR95" s="366"/>
      <c r="AS95" s="366"/>
      <c r="AT95" s="366"/>
      <c r="AU95" s="366"/>
      <c r="AV95" s="366"/>
      <c r="AW95" s="366"/>
      <c r="AX95" s="366"/>
      <c r="AY95" s="366"/>
      <c r="AZ95" s="366"/>
      <c r="BA95" s="366"/>
      <c r="BB95" s="366"/>
      <c r="BC95" s="366"/>
      <c r="BD95" s="366"/>
      <c r="BE95" s="366"/>
      <c r="BF95" s="366"/>
      <c r="BG95" s="366"/>
      <c r="BH95" s="366"/>
      <c r="BI95" s="366"/>
      <c r="BJ95" s="366"/>
      <c r="BK95" s="366"/>
      <c r="BL95" s="366"/>
      <c r="BM95" s="366"/>
      <c r="BN95" s="366"/>
      <c r="BO95" s="366"/>
      <c r="BP95" s="366"/>
      <c r="BQ95" s="366"/>
      <c r="BR95" s="374"/>
      <c r="BS95" s="366"/>
      <c r="BT95" s="366"/>
      <c r="BU95" s="366"/>
      <c r="BV95" s="366"/>
      <c r="BW95" s="366"/>
      <c r="BX95" s="366"/>
      <c r="BY95" s="366"/>
      <c r="BZ95" s="366"/>
      <c r="CA95" s="366"/>
      <c r="CB95" s="366"/>
      <c r="CC95" s="366"/>
      <c r="CD95" s="366"/>
      <c r="CE95" s="366"/>
      <c r="CF95" s="366"/>
      <c r="CG95" s="366"/>
      <c r="CH95" s="366"/>
      <c r="CI95" s="366"/>
      <c r="CJ95" s="374"/>
      <c r="CK95" s="366"/>
      <c r="CL95" s="366"/>
      <c r="CM95" s="366"/>
      <c r="CN95" s="366"/>
      <c r="CO95" s="366"/>
      <c r="CP95" s="366"/>
      <c r="CQ95" s="366"/>
      <c r="CR95" s="366"/>
      <c r="CS95" s="366"/>
      <c r="CT95" s="366"/>
      <c r="CU95" s="366"/>
      <c r="CV95" s="366"/>
      <c r="CW95" s="366"/>
      <c r="CX95" s="366"/>
      <c r="CY95" s="366"/>
      <c r="CZ95" s="366"/>
      <c r="DA95" s="366"/>
      <c r="DB95" s="366"/>
      <c r="DC95" s="366"/>
      <c r="DD95" s="366"/>
      <c r="DE95" s="366"/>
      <c r="DF95" s="366"/>
      <c r="DG95" s="366"/>
      <c r="DH95" s="366"/>
      <c r="DI95" s="366"/>
      <c r="DJ95" s="366"/>
      <c r="DK95" s="366"/>
      <c r="DL95" s="366"/>
      <c r="DM95" s="366"/>
      <c r="DN95" s="366"/>
      <c r="DO95" s="366"/>
      <c r="DP95" s="366"/>
      <c r="DQ95" s="366"/>
      <c r="DR95" s="366"/>
      <c r="DS95" s="366"/>
      <c r="DT95" s="366"/>
      <c r="DU95" s="366"/>
      <c r="DV95" s="366"/>
      <c r="DW95" s="366"/>
      <c r="DX95" s="366"/>
    </row>
    <row r="96" spans="8:128" x14ac:dyDescent="0.2"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6"/>
      <c r="AK96" s="366"/>
      <c r="AL96" s="366"/>
      <c r="AM96" s="366"/>
      <c r="AN96" s="366"/>
      <c r="AO96" s="366"/>
      <c r="AP96" s="366"/>
      <c r="AQ96" s="366"/>
      <c r="AR96" s="366"/>
      <c r="AS96" s="366"/>
      <c r="AT96" s="366"/>
      <c r="AU96" s="366"/>
      <c r="AV96" s="366"/>
      <c r="AW96" s="366"/>
      <c r="AX96" s="366"/>
      <c r="AY96" s="366"/>
      <c r="AZ96" s="366"/>
      <c r="BA96" s="366"/>
      <c r="BB96" s="366"/>
      <c r="BC96" s="366"/>
      <c r="BD96" s="366"/>
      <c r="BE96" s="366"/>
      <c r="BF96" s="366"/>
      <c r="BG96" s="366"/>
      <c r="BH96" s="366"/>
      <c r="BI96" s="366"/>
      <c r="BJ96" s="366"/>
      <c r="BK96" s="366"/>
      <c r="BL96" s="366"/>
      <c r="BM96" s="366"/>
      <c r="BN96" s="366"/>
      <c r="BO96" s="366"/>
      <c r="BP96" s="366"/>
      <c r="BQ96" s="366"/>
      <c r="BR96" s="374"/>
      <c r="BS96" s="366"/>
      <c r="BT96" s="366"/>
      <c r="BU96" s="366"/>
      <c r="BV96" s="366"/>
      <c r="BW96" s="366"/>
      <c r="BX96" s="366"/>
      <c r="BY96" s="366"/>
      <c r="BZ96" s="366"/>
      <c r="CA96" s="366"/>
      <c r="CB96" s="366"/>
      <c r="CC96" s="366"/>
      <c r="CD96" s="366"/>
      <c r="CE96" s="366"/>
      <c r="CF96" s="366"/>
      <c r="CG96" s="366"/>
      <c r="CH96" s="366"/>
      <c r="CI96" s="366"/>
      <c r="CJ96" s="374"/>
      <c r="CK96" s="366"/>
      <c r="CL96" s="366"/>
      <c r="CM96" s="366"/>
      <c r="CN96" s="366"/>
      <c r="CO96" s="366"/>
      <c r="CP96" s="366"/>
      <c r="CQ96" s="366"/>
      <c r="CR96" s="366"/>
      <c r="CS96" s="366"/>
      <c r="CT96" s="366"/>
      <c r="CU96" s="366"/>
      <c r="CV96" s="366"/>
      <c r="CW96" s="366"/>
      <c r="CX96" s="366"/>
      <c r="CY96" s="366"/>
      <c r="CZ96" s="366"/>
      <c r="DA96" s="366"/>
      <c r="DB96" s="366"/>
      <c r="DC96" s="366"/>
      <c r="DD96" s="366"/>
      <c r="DE96" s="366"/>
      <c r="DF96" s="366"/>
      <c r="DG96" s="366"/>
      <c r="DH96" s="366"/>
      <c r="DI96" s="366"/>
      <c r="DJ96" s="366"/>
      <c r="DK96" s="366"/>
      <c r="DL96" s="366"/>
      <c r="DM96" s="366"/>
      <c r="DN96" s="366"/>
      <c r="DO96" s="366"/>
      <c r="DP96" s="366"/>
      <c r="DQ96" s="366"/>
      <c r="DR96" s="366"/>
      <c r="DS96" s="366"/>
      <c r="DT96" s="366"/>
      <c r="DU96" s="366"/>
      <c r="DV96" s="366"/>
      <c r="DW96" s="366"/>
      <c r="DX96" s="366"/>
    </row>
    <row r="97" spans="8:128" x14ac:dyDescent="0.2"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6"/>
      <c r="AL97" s="366"/>
      <c r="AM97" s="366"/>
      <c r="AN97" s="366"/>
      <c r="AO97" s="366"/>
      <c r="AP97" s="366"/>
      <c r="AQ97" s="366"/>
      <c r="AR97" s="366"/>
      <c r="AS97" s="366"/>
      <c r="AT97" s="366"/>
      <c r="AU97" s="366"/>
      <c r="AV97" s="366"/>
      <c r="AW97" s="366"/>
      <c r="AX97" s="366"/>
      <c r="AY97" s="366"/>
      <c r="AZ97" s="366"/>
      <c r="BA97" s="366"/>
      <c r="BB97" s="366"/>
      <c r="BC97" s="366"/>
      <c r="BD97" s="366"/>
      <c r="BE97" s="366"/>
      <c r="BF97" s="366"/>
      <c r="BG97" s="366"/>
      <c r="BH97" s="366"/>
      <c r="BI97" s="366"/>
      <c r="BJ97" s="366"/>
      <c r="BK97" s="366"/>
      <c r="BL97" s="366"/>
      <c r="BM97" s="366"/>
      <c r="BN97" s="366"/>
      <c r="BO97" s="366"/>
      <c r="BP97" s="366"/>
      <c r="BQ97" s="366"/>
      <c r="BR97" s="374"/>
      <c r="BS97" s="366"/>
      <c r="BT97" s="366"/>
      <c r="BU97" s="366"/>
      <c r="BV97" s="366"/>
      <c r="BW97" s="366"/>
      <c r="BX97" s="366"/>
      <c r="BY97" s="366"/>
      <c r="BZ97" s="366"/>
      <c r="CA97" s="366"/>
      <c r="CB97" s="366"/>
      <c r="CC97" s="366"/>
      <c r="CD97" s="366"/>
      <c r="CE97" s="366"/>
      <c r="CF97" s="366"/>
      <c r="CG97" s="366"/>
      <c r="CH97" s="366"/>
      <c r="CI97" s="366"/>
      <c r="CJ97" s="374"/>
      <c r="CK97" s="366"/>
      <c r="CL97" s="366"/>
      <c r="CM97" s="366"/>
      <c r="CN97" s="366"/>
      <c r="CO97" s="366"/>
      <c r="CP97" s="366"/>
      <c r="CQ97" s="366"/>
      <c r="CR97" s="366"/>
      <c r="CS97" s="366"/>
      <c r="CT97" s="366"/>
      <c r="CU97" s="366"/>
      <c r="CV97" s="366"/>
      <c r="CW97" s="366"/>
      <c r="CX97" s="366"/>
      <c r="CY97" s="366"/>
      <c r="CZ97" s="366"/>
      <c r="DA97" s="366"/>
      <c r="DB97" s="366"/>
      <c r="DC97" s="366"/>
      <c r="DD97" s="366"/>
      <c r="DE97" s="366"/>
      <c r="DF97" s="366"/>
      <c r="DG97" s="366"/>
      <c r="DH97" s="366"/>
      <c r="DI97" s="366"/>
      <c r="DJ97" s="366"/>
      <c r="DK97" s="366"/>
      <c r="DL97" s="366"/>
      <c r="DM97" s="366"/>
      <c r="DN97" s="366"/>
      <c r="DO97" s="366"/>
      <c r="DP97" s="366"/>
      <c r="DQ97" s="366"/>
      <c r="DR97" s="366"/>
      <c r="DS97" s="366"/>
      <c r="DT97" s="366"/>
      <c r="DU97" s="366"/>
      <c r="DV97" s="366"/>
      <c r="DW97" s="366"/>
      <c r="DX97" s="366"/>
    </row>
    <row r="98" spans="8:128" x14ac:dyDescent="0.2"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366"/>
      <c r="AH98" s="366"/>
      <c r="AI98" s="366"/>
      <c r="AJ98" s="366"/>
      <c r="AK98" s="366"/>
      <c r="AL98" s="366"/>
      <c r="AM98" s="366"/>
      <c r="AN98" s="366"/>
      <c r="AO98" s="366"/>
      <c r="AP98" s="366"/>
      <c r="AQ98" s="366"/>
      <c r="AR98" s="366"/>
      <c r="AS98" s="366"/>
      <c r="AT98" s="366"/>
      <c r="AU98" s="366"/>
      <c r="AV98" s="366"/>
      <c r="AW98" s="366"/>
      <c r="AX98" s="366"/>
      <c r="AY98" s="366"/>
      <c r="AZ98" s="366"/>
      <c r="BA98" s="366"/>
      <c r="BB98" s="366"/>
      <c r="BC98" s="366"/>
      <c r="BD98" s="366"/>
      <c r="BE98" s="366"/>
      <c r="BF98" s="366"/>
      <c r="BG98" s="366"/>
      <c r="BH98" s="366"/>
      <c r="BI98" s="366"/>
      <c r="BJ98" s="366"/>
      <c r="BK98" s="366"/>
      <c r="BL98" s="366"/>
      <c r="BM98" s="366"/>
      <c r="BN98" s="366"/>
      <c r="BO98" s="366"/>
      <c r="BP98" s="366"/>
      <c r="BQ98" s="366"/>
      <c r="BR98" s="374"/>
      <c r="BS98" s="366"/>
      <c r="BT98" s="366"/>
      <c r="BU98" s="366"/>
      <c r="BV98" s="366"/>
      <c r="BW98" s="366"/>
      <c r="BX98" s="366"/>
      <c r="BY98" s="366"/>
      <c r="BZ98" s="366"/>
      <c r="CA98" s="366"/>
      <c r="CB98" s="366"/>
      <c r="CC98" s="366"/>
      <c r="CD98" s="366"/>
      <c r="CE98" s="366"/>
      <c r="CF98" s="366"/>
      <c r="CG98" s="366"/>
      <c r="CH98" s="366"/>
      <c r="CI98" s="366"/>
      <c r="CJ98" s="374"/>
      <c r="CK98" s="366"/>
      <c r="CL98" s="366"/>
      <c r="CM98" s="366"/>
      <c r="CN98" s="366"/>
      <c r="CO98" s="366"/>
      <c r="CP98" s="366"/>
      <c r="CQ98" s="366"/>
      <c r="CR98" s="366"/>
      <c r="CS98" s="366"/>
      <c r="CT98" s="366"/>
      <c r="CU98" s="366"/>
      <c r="CV98" s="366"/>
      <c r="CW98" s="366"/>
      <c r="CX98" s="366"/>
      <c r="CY98" s="366"/>
      <c r="CZ98" s="366"/>
      <c r="DA98" s="366"/>
      <c r="DB98" s="366"/>
      <c r="DC98" s="366"/>
      <c r="DD98" s="366"/>
      <c r="DE98" s="366"/>
      <c r="DF98" s="366"/>
      <c r="DG98" s="366"/>
      <c r="DH98" s="366"/>
      <c r="DI98" s="366"/>
      <c r="DJ98" s="366"/>
      <c r="DK98" s="366"/>
      <c r="DL98" s="366"/>
      <c r="DM98" s="366"/>
      <c r="DN98" s="366"/>
      <c r="DO98" s="366"/>
      <c r="DP98" s="366"/>
      <c r="DQ98" s="366"/>
      <c r="DR98" s="366"/>
      <c r="DS98" s="366"/>
      <c r="DT98" s="366"/>
      <c r="DU98" s="366"/>
      <c r="DV98" s="366"/>
      <c r="DW98" s="366"/>
      <c r="DX98" s="366"/>
    </row>
    <row r="99" spans="8:128" x14ac:dyDescent="0.2"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6"/>
      <c r="AB99" s="366"/>
      <c r="AC99" s="366"/>
      <c r="AD99" s="366"/>
      <c r="AE99" s="366"/>
      <c r="AF99" s="366"/>
      <c r="AG99" s="366"/>
      <c r="AH99" s="366"/>
      <c r="AI99" s="366"/>
      <c r="AJ99" s="366"/>
      <c r="AK99" s="366"/>
      <c r="AL99" s="366"/>
      <c r="AM99" s="366"/>
      <c r="AN99" s="366"/>
      <c r="AO99" s="366"/>
      <c r="AP99" s="366"/>
      <c r="AQ99" s="366"/>
      <c r="AR99" s="366"/>
      <c r="AS99" s="366"/>
      <c r="AT99" s="366"/>
      <c r="AU99" s="366"/>
      <c r="AV99" s="366"/>
      <c r="AW99" s="366"/>
      <c r="AX99" s="366"/>
      <c r="AY99" s="366"/>
      <c r="AZ99" s="366"/>
      <c r="BA99" s="366"/>
      <c r="BB99" s="366"/>
      <c r="BC99" s="366"/>
      <c r="BD99" s="366"/>
      <c r="BE99" s="366"/>
      <c r="BF99" s="366"/>
      <c r="BG99" s="366"/>
      <c r="BH99" s="366"/>
      <c r="BI99" s="366"/>
      <c r="BJ99" s="366"/>
      <c r="BK99" s="366"/>
      <c r="BL99" s="366"/>
      <c r="BM99" s="366"/>
      <c r="BN99" s="366"/>
      <c r="BO99" s="366"/>
      <c r="BP99" s="375"/>
      <c r="BQ99" s="560"/>
      <c r="BR99" s="560"/>
      <c r="BS99" s="561"/>
      <c r="BT99" s="561"/>
      <c r="BU99" s="561"/>
      <c r="BV99" s="561"/>
      <c r="BW99" s="561"/>
      <c r="BX99" s="561"/>
      <c r="BY99" s="561"/>
      <c r="BZ99" s="561"/>
      <c r="CA99" s="561"/>
      <c r="CB99" s="561"/>
      <c r="CC99" s="561"/>
      <c r="CD99" s="561"/>
      <c r="CE99" s="561"/>
      <c r="CF99" s="561"/>
      <c r="CG99" s="561"/>
      <c r="CH99" s="561"/>
      <c r="CI99" s="561"/>
      <c r="CJ99" s="561"/>
      <c r="CK99" s="366"/>
      <c r="CL99" s="366"/>
      <c r="CM99" s="366"/>
      <c r="CN99" s="366"/>
      <c r="CO99" s="366"/>
      <c r="CP99" s="366"/>
      <c r="CQ99" s="366"/>
      <c r="CR99" s="366"/>
      <c r="CS99" s="366"/>
      <c r="CT99" s="366"/>
      <c r="CU99" s="366"/>
      <c r="CV99" s="366"/>
      <c r="CW99" s="366"/>
      <c r="CX99" s="366"/>
      <c r="CY99" s="366"/>
      <c r="CZ99" s="366"/>
      <c r="DA99" s="366"/>
      <c r="DB99" s="366"/>
      <c r="DC99" s="366"/>
      <c r="DD99" s="366"/>
      <c r="DE99" s="366"/>
      <c r="DF99" s="366"/>
      <c r="DG99" s="366"/>
      <c r="DH99" s="366"/>
      <c r="DI99" s="366"/>
      <c r="DJ99" s="366"/>
      <c r="DK99" s="366"/>
      <c r="DL99" s="366"/>
      <c r="DM99" s="366"/>
      <c r="DN99" s="366"/>
      <c r="DO99" s="366"/>
      <c r="DP99" s="366"/>
      <c r="DQ99" s="366"/>
      <c r="DR99" s="366"/>
      <c r="DS99" s="366"/>
      <c r="DT99" s="366"/>
      <c r="DU99" s="366"/>
      <c r="DV99" s="366"/>
      <c r="DW99" s="366"/>
      <c r="DX99" s="366"/>
    </row>
    <row r="100" spans="8:128" x14ac:dyDescent="0.2"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366"/>
      <c r="AJ100" s="366"/>
      <c r="AK100" s="366"/>
      <c r="AL100" s="366"/>
      <c r="AM100" s="366"/>
      <c r="AN100" s="366"/>
      <c r="AO100" s="366"/>
      <c r="AP100" s="366"/>
      <c r="AQ100" s="366"/>
      <c r="AR100" s="366"/>
      <c r="AS100" s="366"/>
      <c r="AT100" s="366"/>
      <c r="AU100" s="366"/>
      <c r="AV100" s="366"/>
      <c r="AW100" s="366"/>
      <c r="AX100" s="366"/>
      <c r="AY100" s="366"/>
      <c r="AZ100" s="366"/>
      <c r="BA100" s="366"/>
      <c r="BB100" s="366"/>
      <c r="BC100" s="366"/>
      <c r="BD100" s="366"/>
      <c r="BE100" s="366"/>
      <c r="BF100" s="366"/>
      <c r="BG100" s="366"/>
      <c r="BH100" s="366"/>
      <c r="BI100" s="366"/>
      <c r="BJ100" s="366"/>
      <c r="BK100" s="366"/>
      <c r="BL100" s="366"/>
      <c r="BM100" s="366"/>
      <c r="BN100" s="366"/>
      <c r="BO100" s="366"/>
      <c r="BP100" s="366"/>
      <c r="BQ100" s="366"/>
      <c r="BR100" s="366"/>
      <c r="BS100" s="366"/>
      <c r="BT100" s="366"/>
      <c r="BU100" s="366"/>
      <c r="BV100" s="366"/>
      <c r="BW100" s="366"/>
      <c r="BX100" s="366"/>
      <c r="BY100" s="366"/>
      <c r="BZ100" s="366"/>
      <c r="CA100" s="366"/>
      <c r="CB100" s="366"/>
      <c r="CC100" s="366"/>
      <c r="CD100" s="366"/>
      <c r="CE100" s="366"/>
      <c r="CF100" s="366"/>
      <c r="CG100" s="366"/>
      <c r="CH100" s="366"/>
      <c r="CI100" s="366"/>
      <c r="CJ100" s="366"/>
      <c r="CK100" s="366"/>
      <c r="CL100" s="366"/>
      <c r="CM100" s="366"/>
      <c r="CN100" s="366"/>
      <c r="CO100" s="366"/>
      <c r="CP100" s="366"/>
      <c r="CQ100" s="366"/>
      <c r="CR100" s="366"/>
      <c r="CS100" s="366"/>
      <c r="CT100" s="366"/>
      <c r="CU100" s="366"/>
      <c r="CV100" s="366"/>
      <c r="CW100" s="366"/>
      <c r="CX100" s="366"/>
      <c r="CY100" s="366"/>
      <c r="CZ100" s="366"/>
      <c r="DA100" s="366"/>
      <c r="DB100" s="366"/>
      <c r="DC100" s="366"/>
      <c r="DD100" s="366"/>
      <c r="DE100" s="366"/>
      <c r="DF100" s="366"/>
      <c r="DG100" s="366"/>
      <c r="DH100" s="366"/>
      <c r="DI100" s="366"/>
      <c r="DJ100" s="366"/>
      <c r="DK100" s="366"/>
      <c r="DL100" s="366"/>
      <c r="DM100" s="366"/>
      <c r="DN100" s="366"/>
      <c r="DO100" s="366"/>
      <c r="DP100" s="366"/>
      <c r="DQ100" s="366"/>
      <c r="DR100" s="366"/>
      <c r="DS100" s="366"/>
      <c r="DT100" s="366"/>
      <c r="DU100" s="366"/>
      <c r="DV100" s="366"/>
      <c r="DW100" s="366"/>
      <c r="DX100" s="366"/>
    </row>
    <row r="101" spans="8:128" x14ac:dyDescent="0.2"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6"/>
      <c r="AH101" s="366"/>
      <c r="AI101" s="366"/>
      <c r="AJ101" s="366"/>
      <c r="AK101" s="366"/>
      <c r="AL101" s="366"/>
      <c r="AM101" s="366"/>
      <c r="AN101" s="366"/>
      <c r="AO101" s="366"/>
      <c r="AP101" s="366"/>
      <c r="AQ101" s="366"/>
      <c r="AR101" s="366"/>
      <c r="AS101" s="366"/>
      <c r="AT101" s="366"/>
      <c r="AU101" s="366"/>
      <c r="AV101" s="366"/>
      <c r="AW101" s="366"/>
      <c r="AX101" s="366"/>
      <c r="AY101" s="366"/>
      <c r="AZ101" s="366"/>
      <c r="BA101" s="366"/>
      <c r="BB101" s="366"/>
      <c r="BC101" s="366"/>
      <c r="BD101" s="366"/>
      <c r="BE101" s="366"/>
      <c r="BF101" s="366"/>
      <c r="BG101" s="366"/>
      <c r="BH101" s="366"/>
      <c r="BI101" s="366"/>
      <c r="BJ101" s="366"/>
      <c r="BK101" s="366"/>
      <c r="BL101" s="366"/>
      <c r="BM101" s="366"/>
      <c r="BN101" s="366"/>
      <c r="BO101" s="366"/>
      <c r="BP101" s="366"/>
      <c r="BQ101" s="366"/>
      <c r="BR101" s="366"/>
      <c r="BS101" s="366"/>
      <c r="BT101" s="366"/>
      <c r="BU101" s="366"/>
      <c r="BV101" s="366"/>
      <c r="BW101" s="366"/>
      <c r="BX101" s="366"/>
      <c r="BY101" s="366"/>
      <c r="BZ101" s="366"/>
      <c r="CA101" s="366"/>
      <c r="CB101" s="366"/>
      <c r="CC101" s="366"/>
      <c r="CD101" s="366"/>
      <c r="CE101" s="366"/>
      <c r="CF101" s="366"/>
      <c r="CG101" s="366"/>
      <c r="CH101" s="366"/>
      <c r="CI101" s="366"/>
      <c r="CJ101" s="366"/>
      <c r="CK101" s="366"/>
      <c r="CL101" s="366"/>
      <c r="CM101" s="366"/>
      <c r="CN101" s="366"/>
      <c r="CO101" s="366"/>
      <c r="CP101" s="366"/>
      <c r="CQ101" s="366"/>
      <c r="CR101" s="366"/>
      <c r="CS101" s="366"/>
      <c r="CT101" s="366"/>
      <c r="CU101" s="366"/>
      <c r="CV101" s="366"/>
      <c r="CW101" s="366"/>
      <c r="CX101" s="366"/>
      <c r="CY101" s="366"/>
      <c r="CZ101" s="366"/>
      <c r="DA101" s="366"/>
      <c r="DB101" s="366"/>
      <c r="DC101" s="366"/>
      <c r="DD101" s="366"/>
      <c r="DE101" s="366"/>
      <c r="DF101" s="366"/>
      <c r="DG101" s="366"/>
      <c r="DH101" s="366"/>
      <c r="DI101" s="366"/>
      <c r="DJ101" s="366"/>
      <c r="DK101" s="366"/>
      <c r="DL101" s="366"/>
      <c r="DM101" s="366"/>
      <c r="DN101" s="366"/>
      <c r="DO101" s="366"/>
      <c r="DP101" s="366"/>
      <c r="DQ101" s="366"/>
      <c r="DR101" s="366"/>
      <c r="DS101" s="366"/>
      <c r="DT101" s="366"/>
      <c r="DU101" s="366"/>
      <c r="DV101" s="366"/>
      <c r="DW101" s="366"/>
      <c r="DX101" s="366"/>
    </row>
    <row r="102" spans="8:128" x14ac:dyDescent="0.2">
      <c r="H102" s="366"/>
      <c r="I102" s="366"/>
      <c r="J102" s="366"/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366"/>
      <c r="AJ102" s="366"/>
      <c r="AK102" s="366"/>
      <c r="AL102" s="366"/>
      <c r="AM102" s="366"/>
      <c r="AN102" s="366"/>
      <c r="AO102" s="366"/>
      <c r="AP102" s="366"/>
      <c r="AQ102" s="366"/>
      <c r="AR102" s="366"/>
      <c r="AS102" s="366"/>
      <c r="AT102" s="366"/>
      <c r="AU102" s="366"/>
      <c r="AV102" s="366"/>
      <c r="AW102" s="366"/>
      <c r="AX102" s="366"/>
      <c r="AY102" s="366"/>
      <c r="AZ102" s="366"/>
      <c r="BA102" s="366"/>
      <c r="BB102" s="366"/>
      <c r="BC102" s="366"/>
      <c r="BD102" s="366"/>
      <c r="BE102" s="366"/>
      <c r="BF102" s="366"/>
      <c r="BG102" s="366"/>
      <c r="BH102" s="366"/>
      <c r="BI102" s="366"/>
      <c r="BJ102" s="366"/>
      <c r="BK102" s="366"/>
      <c r="BL102" s="366"/>
      <c r="BM102" s="366"/>
      <c r="BN102" s="366"/>
      <c r="BO102" s="366"/>
      <c r="BP102" s="366"/>
      <c r="BQ102" s="366"/>
      <c r="BR102" s="366"/>
      <c r="BS102" s="366"/>
      <c r="BT102" s="366"/>
      <c r="BU102" s="366"/>
      <c r="BV102" s="366"/>
      <c r="BW102" s="366"/>
      <c r="BX102" s="366"/>
      <c r="BY102" s="366"/>
      <c r="BZ102" s="366"/>
      <c r="CA102" s="366"/>
      <c r="CB102" s="366"/>
      <c r="CC102" s="366"/>
      <c r="CD102" s="366"/>
      <c r="CE102" s="366"/>
      <c r="CF102" s="366"/>
      <c r="CG102" s="366"/>
      <c r="CH102" s="366"/>
      <c r="CI102" s="366"/>
      <c r="CJ102" s="366"/>
      <c r="CK102" s="366"/>
      <c r="CL102" s="366"/>
      <c r="CM102" s="366"/>
      <c r="CN102" s="366"/>
      <c r="CO102" s="366"/>
      <c r="CP102" s="366"/>
      <c r="CQ102" s="366"/>
      <c r="CR102" s="366"/>
      <c r="CS102" s="366"/>
      <c r="CT102" s="366"/>
      <c r="CU102" s="366"/>
      <c r="CV102" s="366"/>
      <c r="CW102" s="366"/>
      <c r="CX102" s="366"/>
      <c r="CY102" s="366"/>
      <c r="CZ102" s="366"/>
      <c r="DA102" s="366"/>
      <c r="DB102" s="366"/>
      <c r="DC102" s="366"/>
      <c r="DD102" s="366"/>
      <c r="DE102" s="366"/>
      <c r="DF102" s="366"/>
      <c r="DG102" s="366"/>
      <c r="DH102" s="366"/>
      <c r="DI102" s="366"/>
      <c r="DJ102" s="366"/>
      <c r="DK102" s="366"/>
      <c r="DL102" s="366"/>
      <c r="DM102" s="366"/>
      <c r="DN102" s="366"/>
      <c r="DO102" s="366"/>
      <c r="DP102" s="366"/>
      <c r="DQ102" s="366"/>
      <c r="DR102" s="366"/>
      <c r="DS102" s="366"/>
      <c r="DT102" s="366"/>
      <c r="DU102" s="366"/>
      <c r="DV102" s="366"/>
      <c r="DW102" s="366"/>
      <c r="DX102" s="366"/>
    </row>
    <row r="103" spans="8:128" x14ac:dyDescent="0.2">
      <c r="H103" s="366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6"/>
      <c r="AE103" s="366"/>
      <c r="AF103" s="366"/>
      <c r="AG103" s="366"/>
      <c r="AH103" s="366"/>
      <c r="AI103" s="366"/>
      <c r="AJ103" s="366"/>
      <c r="AK103" s="366"/>
      <c r="AL103" s="366"/>
      <c r="AM103" s="366"/>
      <c r="AN103" s="366"/>
      <c r="AO103" s="366"/>
      <c r="AP103" s="366"/>
      <c r="AQ103" s="366"/>
      <c r="AR103" s="366"/>
      <c r="AS103" s="366"/>
      <c r="AT103" s="366"/>
      <c r="AU103" s="366"/>
      <c r="AV103" s="366"/>
      <c r="AW103" s="366"/>
      <c r="AX103" s="366"/>
      <c r="AY103" s="366"/>
      <c r="AZ103" s="366"/>
      <c r="BA103" s="366"/>
      <c r="BB103" s="366"/>
      <c r="BC103" s="366"/>
      <c r="BD103" s="366"/>
      <c r="BE103" s="366"/>
      <c r="BF103" s="366"/>
      <c r="BG103" s="366"/>
      <c r="BH103" s="366"/>
      <c r="BI103" s="366"/>
      <c r="BJ103" s="366"/>
      <c r="BK103" s="366"/>
      <c r="BL103" s="366"/>
      <c r="BM103" s="366"/>
      <c r="BN103" s="366"/>
      <c r="BO103" s="366"/>
      <c r="BP103" s="366"/>
      <c r="BQ103" s="366"/>
      <c r="BR103" s="366"/>
      <c r="BS103" s="366"/>
      <c r="BT103" s="366"/>
      <c r="BU103" s="366"/>
      <c r="BV103" s="366"/>
      <c r="BW103" s="366"/>
      <c r="BX103" s="366"/>
      <c r="BY103" s="366"/>
      <c r="BZ103" s="366"/>
      <c r="CA103" s="366"/>
      <c r="CB103" s="366"/>
      <c r="CC103" s="366"/>
      <c r="CD103" s="366"/>
      <c r="CE103" s="366"/>
      <c r="CF103" s="366"/>
      <c r="CG103" s="366"/>
      <c r="CH103" s="366"/>
      <c r="CI103" s="366"/>
      <c r="CJ103" s="366"/>
      <c r="CK103" s="366"/>
      <c r="CL103" s="366"/>
      <c r="CM103" s="366"/>
      <c r="CN103" s="366"/>
      <c r="CO103" s="366"/>
      <c r="CP103" s="366"/>
      <c r="CQ103" s="366"/>
      <c r="CR103" s="366"/>
      <c r="CS103" s="366"/>
      <c r="CT103" s="366"/>
      <c r="CU103" s="366"/>
      <c r="CV103" s="366"/>
      <c r="CW103" s="366"/>
      <c r="CX103" s="366"/>
      <c r="CY103" s="366"/>
      <c r="CZ103" s="366"/>
      <c r="DA103" s="366"/>
      <c r="DB103" s="366"/>
      <c r="DC103" s="366"/>
      <c r="DD103" s="366"/>
      <c r="DE103" s="366"/>
      <c r="DF103" s="366"/>
      <c r="DG103" s="366"/>
      <c r="DH103" s="366"/>
      <c r="DI103" s="366"/>
      <c r="DJ103" s="366"/>
      <c r="DK103" s="366"/>
      <c r="DL103" s="366"/>
      <c r="DM103" s="366"/>
      <c r="DN103" s="366"/>
      <c r="DO103" s="366"/>
      <c r="DP103" s="366"/>
      <c r="DQ103" s="366"/>
      <c r="DR103" s="366"/>
      <c r="DS103" s="366"/>
      <c r="DT103" s="366"/>
      <c r="DU103" s="366"/>
      <c r="DV103" s="366"/>
      <c r="DW103" s="366"/>
      <c r="DX103" s="366"/>
    </row>
    <row r="104" spans="8:128" x14ac:dyDescent="0.2">
      <c r="H104" s="366"/>
      <c r="I104" s="366"/>
      <c r="J104" s="366"/>
      <c r="K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366"/>
      <c r="AJ104" s="366"/>
      <c r="AK104" s="366"/>
      <c r="AL104" s="366"/>
      <c r="AM104" s="366"/>
      <c r="AN104" s="366"/>
      <c r="AO104" s="366"/>
      <c r="AP104" s="366"/>
      <c r="AQ104" s="366"/>
      <c r="AR104" s="366"/>
      <c r="AS104" s="366"/>
      <c r="AT104" s="366"/>
      <c r="AU104" s="366"/>
      <c r="AV104" s="366"/>
      <c r="AW104" s="366"/>
      <c r="AX104" s="366"/>
      <c r="AY104" s="366"/>
      <c r="AZ104" s="366"/>
      <c r="BA104" s="366"/>
      <c r="BB104" s="366"/>
      <c r="BC104" s="366"/>
      <c r="BD104" s="366"/>
      <c r="BE104" s="366"/>
      <c r="BF104" s="366"/>
      <c r="BG104" s="366"/>
      <c r="BH104" s="366"/>
      <c r="BI104" s="366"/>
      <c r="BJ104" s="366"/>
      <c r="BK104" s="366"/>
      <c r="BL104" s="366"/>
      <c r="BM104" s="366"/>
      <c r="BN104" s="366"/>
      <c r="BO104" s="366"/>
      <c r="BP104" s="366"/>
      <c r="BQ104" s="366"/>
      <c r="BR104" s="366"/>
      <c r="BS104" s="366"/>
      <c r="BT104" s="366"/>
      <c r="BU104" s="366"/>
      <c r="BV104" s="366"/>
      <c r="BW104" s="366"/>
      <c r="BX104" s="366"/>
      <c r="BY104" s="366"/>
      <c r="BZ104" s="366"/>
      <c r="CA104" s="366"/>
      <c r="CB104" s="366"/>
      <c r="CC104" s="366"/>
      <c r="CD104" s="366"/>
      <c r="CE104" s="366"/>
      <c r="CF104" s="366"/>
      <c r="CG104" s="366"/>
      <c r="CH104" s="366"/>
      <c r="CI104" s="366"/>
      <c r="CJ104" s="366"/>
      <c r="CK104" s="366"/>
      <c r="CL104" s="366"/>
      <c r="CM104" s="366"/>
      <c r="CN104" s="366"/>
      <c r="CO104" s="366"/>
      <c r="CP104" s="366"/>
      <c r="CQ104" s="366"/>
      <c r="CR104" s="366"/>
      <c r="CS104" s="366"/>
      <c r="CT104" s="366"/>
      <c r="CU104" s="366"/>
      <c r="CV104" s="366"/>
      <c r="CW104" s="366"/>
      <c r="CX104" s="366"/>
      <c r="CY104" s="366"/>
      <c r="CZ104" s="366"/>
      <c r="DA104" s="366"/>
      <c r="DB104" s="366"/>
      <c r="DC104" s="366"/>
      <c r="DD104" s="366"/>
      <c r="DE104" s="366"/>
      <c r="DF104" s="366"/>
      <c r="DG104" s="366"/>
      <c r="DH104" s="366"/>
      <c r="DI104" s="366"/>
      <c r="DJ104" s="366"/>
      <c r="DK104" s="366"/>
      <c r="DL104" s="366"/>
      <c r="DM104" s="366"/>
      <c r="DN104" s="366"/>
      <c r="DO104" s="366"/>
      <c r="DP104" s="366"/>
      <c r="DQ104" s="366"/>
      <c r="DR104" s="366"/>
      <c r="DS104" s="366"/>
      <c r="DT104" s="366"/>
      <c r="DU104" s="366"/>
      <c r="DV104" s="366"/>
      <c r="DW104" s="366"/>
      <c r="DX104" s="366"/>
    </row>
    <row r="105" spans="8:128" x14ac:dyDescent="0.2"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  <c r="AA105" s="366"/>
      <c r="AB105" s="366"/>
      <c r="AC105" s="366"/>
      <c r="AD105" s="366"/>
      <c r="AE105" s="366"/>
      <c r="AF105" s="366"/>
      <c r="AG105" s="366"/>
      <c r="AH105" s="366"/>
      <c r="AI105" s="366"/>
      <c r="AJ105" s="366"/>
      <c r="AK105" s="366"/>
      <c r="AL105" s="366"/>
      <c r="AM105" s="366"/>
      <c r="AN105" s="366"/>
      <c r="AO105" s="366"/>
      <c r="AP105" s="366"/>
      <c r="AQ105" s="366"/>
      <c r="AR105" s="366"/>
      <c r="AS105" s="366"/>
      <c r="AT105" s="366"/>
      <c r="AU105" s="366"/>
      <c r="AV105" s="366"/>
      <c r="AW105" s="366"/>
      <c r="AX105" s="366"/>
      <c r="AY105" s="366"/>
      <c r="AZ105" s="366"/>
      <c r="BA105" s="366"/>
      <c r="BB105" s="366"/>
      <c r="BC105" s="366"/>
      <c r="BD105" s="366"/>
      <c r="BE105" s="366"/>
      <c r="BF105" s="366"/>
      <c r="BG105" s="366"/>
      <c r="BH105" s="366"/>
      <c r="BI105" s="366"/>
      <c r="BJ105" s="366"/>
      <c r="BK105" s="366"/>
      <c r="BL105" s="366"/>
      <c r="BM105" s="366"/>
      <c r="BN105" s="366"/>
      <c r="BO105" s="366"/>
      <c r="BP105" s="366"/>
      <c r="BQ105" s="366"/>
      <c r="BR105" s="366"/>
      <c r="BS105" s="366"/>
      <c r="BT105" s="366"/>
      <c r="BU105" s="366"/>
      <c r="BV105" s="366"/>
      <c r="BW105" s="366"/>
      <c r="BX105" s="366"/>
      <c r="BY105" s="366"/>
      <c r="BZ105" s="366"/>
      <c r="CA105" s="366"/>
      <c r="CB105" s="366"/>
      <c r="CC105" s="366"/>
      <c r="CD105" s="366"/>
      <c r="CE105" s="366"/>
      <c r="CF105" s="366"/>
      <c r="CG105" s="366"/>
      <c r="CH105" s="366"/>
      <c r="CI105" s="366"/>
      <c r="CJ105" s="366"/>
      <c r="CK105" s="366"/>
      <c r="CL105" s="366"/>
      <c r="CM105" s="366"/>
      <c r="CN105" s="366"/>
      <c r="CO105" s="366"/>
      <c r="CP105" s="366"/>
      <c r="CQ105" s="366"/>
      <c r="CR105" s="366"/>
      <c r="CS105" s="366"/>
      <c r="CT105" s="366"/>
      <c r="CU105" s="366"/>
      <c r="CV105" s="366"/>
      <c r="CW105" s="366"/>
      <c r="CX105" s="366"/>
      <c r="CY105" s="366"/>
      <c r="CZ105" s="366"/>
      <c r="DA105" s="366"/>
      <c r="DB105" s="366"/>
      <c r="DC105" s="366"/>
      <c r="DD105" s="366"/>
      <c r="DE105" s="366"/>
      <c r="DF105" s="366"/>
      <c r="DG105" s="366"/>
      <c r="DH105" s="366"/>
      <c r="DI105" s="366"/>
      <c r="DJ105" s="366"/>
      <c r="DK105" s="366"/>
      <c r="DL105" s="366"/>
      <c r="DM105" s="366"/>
      <c r="DN105" s="366"/>
      <c r="DO105" s="366"/>
      <c r="DP105" s="366"/>
      <c r="DQ105" s="366"/>
      <c r="DR105" s="366"/>
      <c r="DS105" s="366"/>
      <c r="DT105" s="366"/>
      <c r="DU105" s="366"/>
      <c r="DV105" s="366"/>
      <c r="DW105" s="366"/>
      <c r="DX105" s="366"/>
    </row>
    <row r="106" spans="8:128" x14ac:dyDescent="0.2"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6"/>
      <c r="AL106" s="366"/>
      <c r="AM106" s="366"/>
      <c r="AN106" s="366"/>
      <c r="AO106" s="366"/>
      <c r="AP106" s="366"/>
      <c r="AQ106" s="366"/>
      <c r="AR106" s="366"/>
      <c r="AS106" s="366"/>
      <c r="AT106" s="366"/>
      <c r="AU106" s="366"/>
      <c r="AV106" s="366"/>
      <c r="AW106" s="366"/>
      <c r="AX106" s="366"/>
      <c r="AY106" s="366"/>
      <c r="AZ106" s="366"/>
      <c r="BA106" s="366"/>
      <c r="BB106" s="366"/>
      <c r="BC106" s="366"/>
      <c r="BD106" s="366"/>
      <c r="BE106" s="366"/>
      <c r="BF106" s="366"/>
      <c r="BG106" s="366"/>
      <c r="BH106" s="366"/>
      <c r="BI106" s="366"/>
      <c r="BJ106" s="366"/>
      <c r="BK106" s="366"/>
      <c r="BL106" s="366"/>
      <c r="BM106" s="366"/>
      <c r="BN106" s="366"/>
      <c r="BO106" s="366"/>
      <c r="BP106" s="366"/>
      <c r="BQ106" s="366"/>
      <c r="BR106" s="366"/>
      <c r="BS106" s="366"/>
      <c r="BT106" s="366"/>
      <c r="BU106" s="366"/>
      <c r="BV106" s="366"/>
      <c r="BW106" s="366"/>
      <c r="BX106" s="366"/>
      <c r="BY106" s="366"/>
      <c r="BZ106" s="366"/>
      <c r="CA106" s="366"/>
      <c r="CB106" s="366"/>
      <c r="CC106" s="366"/>
      <c r="CD106" s="366"/>
      <c r="CE106" s="366"/>
      <c r="CF106" s="366"/>
      <c r="CG106" s="366"/>
      <c r="CH106" s="366"/>
      <c r="CI106" s="366"/>
      <c r="CJ106" s="366"/>
      <c r="CK106" s="366"/>
      <c r="CL106" s="366"/>
      <c r="CM106" s="366"/>
      <c r="CN106" s="366"/>
      <c r="CO106" s="366"/>
      <c r="CP106" s="366"/>
      <c r="CQ106" s="366"/>
      <c r="CR106" s="366"/>
      <c r="CS106" s="366"/>
      <c r="CT106" s="366"/>
      <c r="CU106" s="366"/>
      <c r="CV106" s="366"/>
      <c r="CW106" s="366"/>
      <c r="CX106" s="366"/>
      <c r="CY106" s="366"/>
      <c r="CZ106" s="366"/>
      <c r="DA106" s="366"/>
      <c r="DB106" s="366"/>
      <c r="DC106" s="366"/>
      <c r="DD106" s="366"/>
      <c r="DE106" s="366"/>
      <c r="DF106" s="366"/>
      <c r="DG106" s="366"/>
      <c r="DH106" s="366"/>
      <c r="DI106" s="366"/>
      <c r="DJ106" s="366"/>
      <c r="DK106" s="366"/>
      <c r="DL106" s="366"/>
      <c r="DM106" s="366"/>
      <c r="DN106" s="366"/>
      <c r="DO106" s="366"/>
      <c r="DP106" s="366"/>
      <c r="DQ106" s="366"/>
      <c r="DR106" s="366"/>
      <c r="DS106" s="366"/>
      <c r="DT106" s="366"/>
      <c r="DU106" s="366"/>
      <c r="DV106" s="366"/>
      <c r="DW106" s="366"/>
      <c r="DX106" s="366"/>
    </row>
    <row r="107" spans="8:128" x14ac:dyDescent="0.2">
      <c r="H107" s="366"/>
      <c r="I107" s="366"/>
      <c r="J107" s="366"/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6"/>
      <c r="AB107" s="366"/>
      <c r="AC107" s="366"/>
      <c r="AD107" s="366"/>
      <c r="AE107" s="366"/>
      <c r="AF107" s="366"/>
      <c r="AG107" s="366"/>
      <c r="AH107" s="366"/>
      <c r="AI107" s="366"/>
      <c r="AJ107" s="366"/>
      <c r="AK107" s="366"/>
      <c r="AL107" s="366"/>
      <c r="AM107" s="366"/>
      <c r="AN107" s="366"/>
      <c r="AO107" s="366"/>
      <c r="AP107" s="366"/>
      <c r="AQ107" s="366"/>
      <c r="AR107" s="366"/>
      <c r="AS107" s="366"/>
      <c r="AT107" s="366"/>
      <c r="AU107" s="366"/>
      <c r="AV107" s="366"/>
      <c r="AW107" s="366"/>
      <c r="AX107" s="366"/>
      <c r="AY107" s="366"/>
      <c r="AZ107" s="366"/>
      <c r="BA107" s="366"/>
      <c r="BB107" s="366"/>
      <c r="BC107" s="366"/>
      <c r="BD107" s="366"/>
      <c r="BE107" s="366"/>
      <c r="BF107" s="366"/>
      <c r="BG107" s="366"/>
      <c r="BH107" s="366"/>
      <c r="BI107" s="366"/>
      <c r="BJ107" s="366"/>
      <c r="BK107" s="366"/>
      <c r="BL107" s="366"/>
      <c r="BM107" s="366"/>
      <c r="BN107" s="366"/>
      <c r="BO107" s="366"/>
      <c r="BP107" s="366"/>
      <c r="BQ107" s="366"/>
      <c r="BR107" s="366"/>
      <c r="BS107" s="366"/>
      <c r="BT107" s="366"/>
      <c r="BU107" s="366"/>
      <c r="BV107" s="366"/>
      <c r="BW107" s="366"/>
      <c r="BX107" s="366"/>
      <c r="BY107" s="366"/>
      <c r="BZ107" s="366"/>
      <c r="CA107" s="366"/>
      <c r="CB107" s="366"/>
      <c r="CC107" s="366"/>
      <c r="CD107" s="366"/>
      <c r="CE107" s="366"/>
      <c r="CF107" s="366"/>
      <c r="CG107" s="366"/>
      <c r="CH107" s="366"/>
      <c r="CI107" s="366"/>
      <c r="CJ107" s="366"/>
      <c r="CK107" s="366"/>
      <c r="CL107" s="366"/>
      <c r="CM107" s="366"/>
      <c r="CN107" s="366"/>
      <c r="CO107" s="366"/>
      <c r="CP107" s="366"/>
      <c r="CQ107" s="366"/>
      <c r="CR107" s="366"/>
      <c r="CS107" s="366"/>
      <c r="CT107" s="366"/>
      <c r="CU107" s="366"/>
      <c r="CV107" s="366"/>
      <c r="CW107" s="366"/>
      <c r="CX107" s="366"/>
      <c r="CY107" s="366"/>
      <c r="CZ107" s="366"/>
      <c r="DA107" s="366"/>
      <c r="DB107" s="366"/>
      <c r="DC107" s="366"/>
      <c r="DD107" s="366"/>
      <c r="DE107" s="366"/>
      <c r="DF107" s="366"/>
      <c r="DG107" s="366"/>
      <c r="DH107" s="366"/>
      <c r="DI107" s="366"/>
      <c r="DJ107" s="366"/>
      <c r="DK107" s="366"/>
      <c r="DL107" s="366"/>
      <c r="DM107" s="366"/>
      <c r="DN107" s="366"/>
      <c r="DO107" s="366"/>
      <c r="DP107" s="366"/>
      <c r="DQ107" s="366"/>
      <c r="DR107" s="366"/>
      <c r="DS107" s="366"/>
      <c r="DT107" s="366"/>
      <c r="DU107" s="366"/>
      <c r="DV107" s="366"/>
      <c r="DW107" s="366"/>
      <c r="DX107" s="366"/>
    </row>
    <row r="108" spans="8:128" x14ac:dyDescent="0.2">
      <c r="H108" s="366"/>
      <c r="I108" s="366"/>
      <c r="J108" s="366"/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366"/>
      <c r="Z108" s="366"/>
      <c r="AA108" s="366"/>
      <c r="AB108" s="366"/>
      <c r="AC108" s="366"/>
      <c r="AD108" s="366"/>
      <c r="AE108" s="366"/>
      <c r="AF108" s="366"/>
      <c r="AG108" s="366"/>
      <c r="AH108" s="366"/>
      <c r="AI108" s="366"/>
      <c r="AJ108" s="366"/>
      <c r="AK108" s="366"/>
      <c r="AL108" s="366"/>
      <c r="AM108" s="366"/>
      <c r="AN108" s="366"/>
      <c r="AO108" s="366"/>
      <c r="AP108" s="366"/>
      <c r="AQ108" s="366"/>
      <c r="AR108" s="366"/>
      <c r="AS108" s="366"/>
      <c r="AT108" s="366"/>
      <c r="AU108" s="366"/>
      <c r="AV108" s="366"/>
      <c r="AW108" s="366"/>
      <c r="AX108" s="366"/>
      <c r="AY108" s="366"/>
      <c r="AZ108" s="366"/>
      <c r="BA108" s="366"/>
      <c r="BB108" s="366"/>
      <c r="BC108" s="366"/>
      <c r="BD108" s="366"/>
      <c r="BE108" s="366"/>
      <c r="BF108" s="366"/>
      <c r="BG108" s="366"/>
      <c r="BH108" s="366"/>
      <c r="BI108" s="366"/>
      <c r="BJ108" s="366"/>
      <c r="BK108" s="366"/>
      <c r="BL108" s="366"/>
      <c r="BM108" s="366"/>
      <c r="BN108" s="366"/>
      <c r="BO108" s="366"/>
      <c r="BP108" s="366"/>
      <c r="BQ108" s="366"/>
      <c r="BR108" s="366"/>
      <c r="BS108" s="366"/>
      <c r="BT108" s="366"/>
      <c r="BU108" s="366"/>
      <c r="BV108" s="366"/>
      <c r="BW108" s="366"/>
      <c r="BX108" s="366"/>
      <c r="BY108" s="366"/>
      <c r="BZ108" s="366"/>
      <c r="CA108" s="366"/>
      <c r="CB108" s="366"/>
      <c r="CC108" s="366"/>
      <c r="CD108" s="366"/>
      <c r="CE108" s="366"/>
      <c r="CF108" s="366"/>
      <c r="CG108" s="366"/>
      <c r="CH108" s="366"/>
      <c r="CI108" s="366"/>
      <c r="CJ108" s="366"/>
      <c r="CK108" s="366"/>
      <c r="CL108" s="366"/>
      <c r="CM108" s="366"/>
      <c r="CN108" s="366"/>
      <c r="CO108" s="366"/>
      <c r="CP108" s="366"/>
      <c r="CQ108" s="366"/>
      <c r="CR108" s="366"/>
      <c r="CS108" s="366"/>
      <c r="CT108" s="366"/>
      <c r="CU108" s="366"/>
      <c r="CV108" s="366"/>
      <c r="CW108" s="366"/>
      <c r="CX108" s="366"/>
      <c r="CY108" s="366"/>
      <c r="CZ108" s="366"/>
      <c r="DA108" s="366"/>
      <c r="DB108" s="366"/>
      <c r="DC108" s="366"/>
      <c r="DD108" s="366"/>
      <c r="DE108" s="366"/>
      <c r="DF108" s="366"/>
      <c r="DG108" s="366"/>
      <c r="DH108" s="366"/>
      <c r="DI108" s="366"/>
      <c r="DJ108" s="366"/>
      <c r="DK108" s="366"/>
      <c r="DL108" s="366"/>
      <c r="DM108" s="366"/>
      <c r="DN108" s="366"/>
      <c r="DO108" s="366"/>
      <c r="DP108" s="366"/>
      <c r="DQ108" s="366"/>
      <c r="DR108" s="366"/>
      <c r="DS108" s="366"/>
      <c r="DT108" s="366"/>
      <c r="DU108" s="366"/>
      <c r="DV108" s="366"/>
      <c r="DW108" s="366"/>
      <c r="DX108" s="366"/>
    </row>
    <row r="109" spans="8:128" x14ac:dyDescent="0.2">
      <c r="H109" s="366"/>
      <c r="I109" s="366"/>
      <c r="J109" s="366"/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6"/>
      <c r="V109" s="366"/>
      <c r="W109" s="366"/>
      <c r="X109" s="366"/>
      <c r="Y109" s="366"/>
      <c r="Z109" s="366"/>
      <c r="AA109" s="366"/>
      <c r="AB109" s="366"/>
      <c r="AC109" s="366"/>
      <c r="AD109" s="366"/>
      <c r="AE109" s="366"/>
      <c r="AF109" s="366"/>
      <c r="AG109" s="366"/>
      <c r="AH109" s="366"/>
      <c r="AI109" s="366"/>
      <c r="AJ109" s="366"/>
      <c r="AK109" s="366"/>
      <c r="AL109" s="366"/>
      <c r="AM109" s="366"/>
      <c r="AN109" s="366"/>
      <c r="AO109" s="366"/>
      <c r="AP109" s="366"/>
      <c r="AQ109" s="366"/>
      <c r="AR109" s="366"/>
      <c r="AS109" s="366"/>
      <c r="AT109" s="366"/>
      <c r="AU109" s="366"/>
      <c r="AV109" s="366"/>
      <c r="AW109" s="366"/>
      <c r="AX109" s="366"/>
      <c r="AY109" s="366"/>
      <c r="AZ109" s="366"/>
      <c r="BA109" s="366"/>
      <c r="BB109" s="366"/>
      <c r="BC109" s="366"/>
      <c r="BD109" s="366"/>
      <c r="BE109" s="366"/>
      <c r="BF109" s="366"/>
      <c r="BG109" s="366"/>
      <c r="BH109" s="366"/>
      <c r="BI109" s="366"/>
      <c r="BJ109" s="366"/>
      <c r="BK109" s="366"/>
      <c r="BL109" s="366"/>
      <c r="BM109" s="366"/>
      <c r="BN109" s="366"/>
      <c r="BO109" s="366"/>
      <c r="BP109" s="366"/>
      <c r="BQ109" s="366"/>
      <c r="BR109" s="366"/>
      <c r="BS109" s="366"/>
      <c r="BT109" s="366"/>
      <c r="BU109" s="366"/>
      <c r="BV109" s="366"/>
      <c r="BW109" s="366"/>
      <c r="BX109" s="366"/>
      <c r="BY109" s="366"/>
      <c r="BZ109" s="366"/>
      <c r="CA109" s="366"/>
      <c r="CB109" s="366"/>
      <c r="CC109" s="366"/>
      <c r="CD109" s="366"/>
      <c r="CE109" s="366"/>
      <c r="CF109" s="366"/>
      <c r="CG109" s="366"/>
      <c r="CH109" s="366"/>
      <c r="CI109" s="366"/>
      <c r="CJ109" s="366"/>
      <c r="CK109" s="366"/>
      <c r="CL109" s="366"/>
      <c r="CM109" s="366"/>
      <c r="CN109" s="366"/>
      <c r="CO109" s="366"/>
      <c r="CP109" s="366"/>
      <c r="CQ109" s="366"/>
      <c r="CR109" s="366"/>
      <c r="CS109" s="366"/>
      <c r="CT109" s="366"/>
      <c r="CU109" s="366"/>
      <c r="CV109" s="366"/>
      <c r="CW109" s="366"/>
      <c r="CX109" s="366"/>
      <c r="CY109" s="366"/>
      <c r="CZ109" s="366"/>
      <c r="DA109" s="366"/>
      <c r="DB109" s="366"/>
      <c r="DC109" s="366"/>
      <c r="DD109" s="366"/>
      <c r="DE109" s="366"/>
      <c r="DF109" s="366"/>
      <c r="DG109" s="366"/>
      <c r="DH109" s="366"/>
      <c r="DI109" s="366"/>
      <c r="DJ109" s="366"/>
      <c r="DK109" s="366"/>
      <c r="DL109" s="366"/>
      <c r="DM109" s="366"/>
      <c r="DN109" s="366"/>
      <c r="DO109" s="366"/>
      <c r="DP109" s="366"/>
      <c r="DQ109" s="366"/>
      <c r="DR109" s="366"/>
      <c r="DS109" s="366"/>
      <c r="DT109" s="366"/>
      <c r="DU109" s="366"/>
      <c r="DV109" s="366"/>
      <c r="DW109" s="366"/>
      <c r="DX109" s="366"/>
    </row>
  </sheetData>
  <mergeCells count="80">
    <mergeCell ref="A1:Y1"/>
    <mergeCell ref="H4:K4"/>
    <mergeCell ref="A2:A6"/>
    <mergeCell ref="C2:C6"/>
    <mergeCell ref="B2:B6"/>
    <mergeCell ref="D2:DG2"/>
    <mergeCell ref="T4:W4"/>
    <mergeCell ref="BH4:BK4"/>
    <mergeCell ref="BD4:BG4"/>
    <mergeCell ref="X3:AQ3"/>
    <mergeCell ref="AB4:AE4"/>
    <mergeCell ref="AC5:AE5"/>
    <mergeCell ref="E5:G5"/>
    <mergeCell ref="M5:O5"/>
    <mergeCell ref="X4:AA4"/>
    <mergeCell ref="L4:O4"/>
    <mergeCell ref="D4:G4"/>
    <mergeCell ref="I5:K5"/>
    <mergeCell ref="Q5:S5"/>
    <mergeCell ref="CZ3:DS3"/>
    <mergeCell ref="CJ4:CM4"/>
    <mergeCell ref="CN4:CQ4"/>
    <mergeCell ref="U5:W5"/>
    <mergeCell ref="BY5:CA5"/>
    <mergeCell ref="BL3:CE3"/>
    <mergeCell ref="BX4:CA4"/>
    <mergeCell ref="CB4:CE4"/>
    <mergeCell ref="CO5:CQ5"/>
    <mergeCell ref="BE5:BG5"/>
    <mergeCell ref="D3:W3"/>
    <mergeCell ref="AW5:AY5"/>
    <mergeCell ref="AR3:BK3"/>
    <mergeCell ref="Y5:AA5"/>
    <mergeCell ref="P4:S4"/>
    <mergeCell ref="AO5:AQ5"/>
    <mergeCell ref="BI5:BK5"/>
    <mergeCell ref="AF4:AI4"/>
    <mergeCell ref="AN4:AQ4"/>
    <mergeCell ref="AG5:AI5"/>
    <mergeCell ref="CF3:CY3"/>
    <mergeCell ref="CR4:CU4"/>
    <mergeCell ref="CS5:CU5"/>
    <mergeCell ref="AJ4:AM4"/>
    <mergeCell ref="BP4:BS4"/>
    <mergeCell ref="AZ4:BC4"/>
    <mergeCell ref="AR4:AU4"/>
    <mergeCell ref="AS5:AU5"/>
    <mergeCell ref="BT4:BW4"/>
    <mergeCell ref="BL4:BO4"/>
    <mergeCell ref="BQ5:BS5"/>
    <mergeCell ref="BM5:BO5"/>
    <mergeCell ref="BU5:BW5"/>
    <mergeCell ref="AV4:AY4"/>
    <mergeCell ref="CW5:CY5"/>
    <mergeCell ref="AD70:AE70"/>
    <mergeCell ref="AV70:AW70"/>
    <mergeCell ref="CC5:CE5"/>
    <mergeCell ref="CF4:CI4"/>
    <mergeCell ref="CK5:CM5"/>
    <mergeCell ref="CG5:CI5"/>
    <mergeCell ref="AK5:AM5"/>
    <mergeCell ref="BA5:BC5"/>
    <mergeCell ref="CJ70:CK70"/>
    <mergeCell ref="CL70:CM70"/>
    <mergeCell ref="DQ5:DS5"/>
    <mergeCell ref="DP4:DS4"/>
    <mergeCell ref="DL4:DO4"/>
    <mergeCell ref="DM5:DO5"/>
    <mergeCell ref="DI5:DK5"/>
    <mergeCell ref="DH4:DK4"/>
    <mergeCell ref="CZ4:DC4"/>
    <mergeCell ref="DD4:DG4"/>
    <mergeCell ref="CV4:CY4"/>
    <mergeCell ref="DA5:DC5"/>
    <mergeCell ref="DE5:DG5"/>
    <mergeCell ref="DE84:DF84"/>
    <mergeCell ref="BQ99:BR99"/>
    <mergeCell ref="BS99:CJ99"/>
    <mergeCell ref="AX84:AY84"/>
    <mergeCell ref="BP84:BQ84"/>
  </mergeCells>
  <phoneticPr fontId="3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59" fitToWidth="2" orientation="landscape" r:id="rId1"/>
  <headerFooter alignWithMargins="0"/>
  <colBreaks count="1" manualBreakCount="1">
    <brk id="63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S113"/>
  <sheetViews>
    <sheetView tabSelected="1" topLeftCell="B1" zoomScale="85" zoomScaleNormal="85" zoomScaleSheetLayoutView="75" workbookViewId="0">
      <pane xSplit="2" ySplit="5" topLeftCell="D29" activePane="bottomRight" state="frozen"/>
      <selection activeCell="B1" sqref="B1"/>
      <selection pane="topRight" activeCell="D1" sqref="D1"/>
      <selection pane="bottomLeft" activeCell="B5" sqref="B5"/>
      <selection pane="bottomRight" activeCell="I37" sqref="I37"/>
    </sheetView>
  </sheetViews>
  <sheetFormatPr defaultColWidth="9.140625" defaultRowHeight="15.75" x14ac:dyDescent="0.25"/>
  <cols>
    <col min="1" max="1" width="3.7109375" style="77" hidden="1" customWidth="1"/>
    <col min="2" max="2" width="6" style="77" customWidth="1"/>
    <col min="3" max="3" width="48.28515625" style="77" customWidth="1"/>
    <col min="4" max="4" width="15.28515625" style="77" customWidth="1"/>
    <col min="5" max="5" width="18" style="77" customWidth="1"/>
    <col min="6" max="6" width="50.7109375" style="77" customWidth="1"/>
    <col min="7" max="7" width="15.7109375" style="77" customWidth="1"/>
    <col min="8" max="8" width="18" style="79" customWidth="1"/>
    <col min="9" max="9" width="14.85546875" style="77" customWidth="1"/>
    <col min="10" max="10" width="50.7109375" style="77" customWidth="1"/>
    <col min="11" max="11" width="10.28515625" style="85" customWidth="1"/>
    <col min="12" max="13" width="12.7109375" style="76" customWidth="1"/>
    <col min="14" max="14" width="17.140625" style="76" customWidth="1"/>
    <col min="15" max="15" width="12.7109375" style="76" customWidth="1"/>
    <col min="16" max="16" width="19.42578125" style="76" customWidth="1"/>
    <col min="17" max="17" width="28.7109375" style="77" customWidth="1"/>
    <col min="18" max="18" width="30.5703125" style="77" customWidth="1"/>
    <col min="19" max="19" width="16.140625" style="77" customWidth="1"/>
    <col min="20" max="16384" width="9.140625" style="77"/>
  </cols>
  <sheetData>
    <row r="1" spans="2:19" ht="42" customHeight="1" x14ac:dyDescent="0.25">
      <c r="B1" s="602" t="s">
        <v>229</v>
      </c>
      <c r="C1" s="602"/>
      <c r="D1" s="602"/>
      <c r="E1" s="602"/>
      <c r="F1" s="602"/>
      <c r="G1" s="602"/>
      <c r="H1" s="602"/>
      <c r="I1" s="602"/>
      <c r="J1" s="602"/>
      <c r="L1" s="360"/>
      <c r="M1" s="360"/>
      <c r="N1" s="360"/>
      <c r="O1" s="360"/>
      <c r="P1" s="360"/>
      <c r="Q1" s="355"/>
      <c r="R1" s="355"/>
      <c r="S1" s="355"/>
    </row>
    <row r="2" spans="2:19" ht="19.5" customHeight="1" x14ac:dyDescent="0.25">
      <c r="B2" s="591" t="s">
        <v>230</v>
      </c>
      <c r="C2" s="591"/>
      <c r="D2" s="591"/>
      <c r="E2" s="591"/>
      <c r="F2" s="591"/>
      <c r="G2" s="591"/>
      <c r="H2" s="591"/>
      <c r="I2" s="591"/>
      <c r="J2" s="591"/>
      <c r="L2" s="361"/>
      <c r="M2" s="360"/>
      <c r="N2" s="360"/>
      <c r="O2" s="360"/>
      <c r="P2" s="360"/>
      <c r="Q2" s="355"/>
      <c r="R2" s="355"/>
      <c r="S2" s="355"/>
    </row>
    <row r="3" spans="2:19" ht="19.5" customHeight="1" x14ac:dyDescent="0.25">
      <c r="B3" s="583" t="s">
        <v>21</v>
      </c>
      <c r="C3" s="603" t="s">
        <v>177</v>
      </c>
      <c r="D3" s="604"/>
      <c r="E3" s="604"/>
      <c r="F3" s="589" t="s">
        <v>137</v>
      </c>
      <c r="G3" s="590"/>
      <c r="H3" s="596"/>
      <c r="I3" s="585" t="s">
        <v>178</v>
      </c>
      <c r="J3" s="586" t="s">
        <v>179</v>
      </c>
      <c r="L3" s="618"/>
      <c r="M3" s="618"/>
      <c r="N3" s="618"/>
      <c r="O3" s="618"/>
      <c r="P3" s="618"/>
      <c r="Q3" s="618"/>
      <c r="R3" s="618"/>
      <c r="S3" s="355"/>
    </row>
    <row r="4" spans="2:19" ht="96.75" customHeight="1" x14ac:dyDescent="0.25">
      <c r="B4" s="584"/>
      <c r="C4" s="194" t="s">
        <v>22</v>
      </c>
      <c r="D4" s="194" t="s">
        <v>1</v>
      </c>
      <c r="E4" s="195" t="s">
        <v>23</v>
      </c>
      <c r="F4" s="194" t="s">
        <v>22</v>
      </c>
      <c r="G4" s="194" t="s">
        <v>1</v>
      </c>
      <c r="H4" s="194" t="s">
        <v>23</v>
      </c>
      <c r="I4" s="585"/>
      <c r="J4" s="587"/>
      <c r="L4" s="349"/>
      <c r="M4" s="349"/>
      <c r="N4" s="349"/>
      <c r="O4" s="618"/>
      <c r="P4" s="618"/>
      <c r="Q4" s="618"/>
      <c r="R4" s="618"/>
      <c r="S4" s="355"/>
    </row>
    <row r="5" spans="2:19" x14ac:dyDescent="0.25">
      <c r="B5" s="194">
        <v>1</v>
      </c>
      <c r="C5" s="194">
        <v>2</v>
      </c>
      <c r="D5" s="194">
        <v>3</v>
      </c>
      <c r="E5" s="195">
        <v>4</v>
      </c>
      <c r="F5" s="194">
        <v>5</v>
      </c>
      <c r="G5" s="194">
        <v>6</v>
      </c>
      <c r="H5" s="194">
        <v>7</v>
      </c>
      <c r="I5" s="194">
        <v>8</v>
      </c>
      <c r="J5" s="194">
        <v>9</v>
      </c>
      <c r="L5" s="362"/>
      <c r="M5" s="362"/>
      <c r="N5" s="362"/>
      <c r="O5" s="362"/>
      <c r="P5" s="362"/>
      <c r="Q5" s="362"/>
      <c r="R5" s="362"/>
      <c r="S5" s="355"/>
    </row>
    <row r="6" spans="2:19" ht="11.25" customHeight="1" x14ac:dyDescent="0.25">
      <c r="B6" s="196" t="s">
        <v>6</v>
      </c>
      <c r="C6" s="605" t="s">
        <v>15</v>
      </c>
      <c r="D6" s="606"/>
      <c r="E6" s="606"/>
      <c r="F6" s="606"/>
      <c r="G6" s="606"/>
      <c r="H6" s="606"/>
      <c r="I6" s="606"/>
      <c r="J6" s="607"/>
      <c r="L6" s="360"/>
      <c r="M6" s="360"/>
      <c r="N6" s="360"/>
      <c r="O6" s="360"/>
      <c r="P6" s="360"/>
      <c r="Q6" s="355"/>
      <c r="R6" s="355"/>
      <c r="S6" s="355"/>
    </row>
    <row r="7" spans="2:19" ht="51.75" customHeight="1" x14ac:dyDescent="0.25">
      <c r="B7" s="197" t="s">
        <v>7</v>
      </c>
      <c r="C7" s="198" t="s">
        <v>151</v>
      </c>
      <c r="D7" s="585" t="s">
        <v>145</v>
      </c>
      <c r="E7" s="541">
        <v>1040</v>
      </c>
      <c r="F7" s="200"/>
      <c r="G7" s="583" t="s">
        <v>145</v>
      </c>
      <c r="H7" s="201"/>
      <c r="I7" s="199">
        <f t="shared" ref="I7:I12" si="0">H7-E7</f>
        <v>-1040</v>
      </c>
      <c r="J7" s="202" t="s">
        <v>202</v>
      </c>
      <c r="L7" s="350"/>
      <c r="M7" s="350"/>
      <c r="N7" s="350"/>
      <c r="O7" s="350"/>
      <c r="P7" s="350"/>
      <c r="Q7" s="350"/>
      <c r="R7" s="350"/>
      <c r="S7" s="355"/>
    </row>
    <row r="8" spans="2:19" ht="50.25" customHeight="1" x14ac:dyDescent="0.25">
      <c r="B8" s="197" t="s">
        <v>8</v>
      </c>
      <c r="C8" s="198" t="s">
        <v>152</v>
      </c>
      <c r="D8" s="585"/>
      <c r="E8" s="541">
        <v>1237</v>
      </c>
      <c r="F8" s="200"/>
      <c r="G8" s="601"/>
      <c r="H8" s="201"/>
      <c r="I8" s="199">
        <f t="shared" si="0"/>
        <v>-1237</v>
      </c>
      <c r="J8" s="202" t="s">
        <v>203</v>
      </c>
      <c r="L8" s="350"/>
      <c r="M8" s="350"/>
      <c r="N8" s="350"/>
      <c r="O8" s="350"/>
      <c r="P8" s="350"/>
      <c r="Q8" s="350"/>
      <c r="R8" s="350"/>
      <c r="S8" s="355"/>
    </row>
    <row r="9" spans="2:19" ht="51.75" customHeight="1" x14ac:dyDescent="0.25">
      <c r="B9" s="197" t="s">
        <v>9</v>
      </c>
      <c r="C9" s="198" t="s">
        <v>153</v>
      </c>
      <c r="D9" s="585"/>
      <c r="E9" s="541">
        <v>2046</v>
      </c>
      <c r="F9" s="200"/>
      <c r="G9" s="601"/>
      <c r="H9" s="201"/>
      <c r="I9" s="199">
        <f t="shared" si="0"/>
        <v>-2046</v>
      </c>
      <c r="J9" s="202" t="s">
        <v>204</v>
      </c>
      <c r="L9" s="350"/>
      <c r="M9" s="350"/>
      <c r="N9" s="350"/>
      <c r="O9" s="350"/>
      <c r="P9" s="350"/>
      <c r="Q9" s="350"/>
      <c r="R9" s="350"/>
      <c r="S9" s="355"/>
    </row>
    <row r="10" spans="2:19" ht="50.25" customHeight="1" x14ac:dyDescent="0.25">
      <c r="B10" s="197" t="s">
        <v>10</v>
      </c>
      <c r="C10" s="198" t="s">
        <v>154</v>
      </c>
      <c r="D10" s="585"/>
      <c r="E10" s="541">
        <v>139</v>
      </c>
      <c r="F10" s="203" t="s">
        <v>154</v>
      </c>
      <c r="G10" s="601"/>
      <c r="H10" s="204">
        <v>71.39</v>
      </c>
      <c r="I10" s="199">
        <f t="shared" si="0"/>
        <v>-67.61</v>
      </c>
      <c r="J10" s="202" t="s">
        <v>185</v>
      </c>
      <c r="L10" s="350"/>
      <c r="M10" s="352"/>
      <c r="N10" s="350"/>
      <c r="O10" s="350"/>
      <c r="P10" s="350"/>
      <c r="Q10" s="351"/>
      <c r="R10" s="352"/>
      <c r="S10" s="355"/>
    </row>
    <row r="11" spans="2:19" ht="58.5" customHeight="1" x14ac:dyDescent="0.25">
      <c r="B11" s="197" t="s">
        <v>11</v>
      </c>
      <c r="C11" s="198" t="s">
        <v>155</v>
      </c>
      <c r="D11" s="585"/>
      <c r="E11" s="541">
        <v>535.9</v>
      </c>
      <c r="F11" s="203" t="s">
        <v>155</v>
      </c>
      <c r="G11" s="601"/>
      <c r="H11" s="204">
        <v>158.59800000000001</v>
      </c>
      <c r="I11" s="199">
        <f t="shared" si="0"/>
        <v>-377.30199999999996</v>
      </c>
      <c r="J11" s="202" t="s">
        <v>185</v>
      </c>
      <c r="L11" s="350"/>
      <c r="M11" s="352"/>
      <c r="N11" s="350"/>
      <c r="O11" s="350"/>
      <c r="P11" s="350"/>
      <c r="Q11" s="351"/>
      <c r="R11" s="350"/>
      <c r="S11" s="355"/>
    </row>
    <row r="12" spans="2:19" ht="66" customHeight="1" x14ac:dyDescent="0.25">
      <c r="B12" s="197" t="s">
        <v>156</v>
      </c>
      <c r="C12" s="200" t="s">
        <v>157</v>
      </c>
      <c r="D12" s="585"/>
      <c r="E12" s="541">
        <v>469.6</v>
      </c>
      <c r="F12" s="200"/>
      <c r="G12" s="601"/>
      <c r="H12" s="201"/>
      <c r="I12" s="199">
        <f t="shared" si="0"/>
        <v>-469.6</v>
      </c>
      <c r="J12" s="202" t="s">
        <v>205</v>
      </c>
      <c r="L12" s="350"/>
      <c r="M12" s="350"/>
      <c r="N12" s="350"/>
      <c r="O12" s="350"/>
      <c r="P12" s="350"/>
      <c r="Q12" s="355"/>
      <c r="R12" s="355"/>
      <c r="S12" s="355"/>
    </row>
    <row r="13" spans="2:19" s="78" customFormat="1" ht="15.75" customHeight="1" x14ac:dyDescent="0.25">
      <c r="B13" s="196"/>
      <c r="C13" s="207" t="s">
        <v>24</v>
      </c>
      <c r="D13" s="225"/>
      <c r="E13" s="542">
        <f>SUM(E7:E12)</f>
        <v>5467.5</v>
      </c>
      <c r="F13" s="209"/>
      <c r="G13" s="584"/>
      <c r="H13" s="208">
        <f>SUM(H7:H12)</f>
        <v>229.988</v>
      </c>
      <c r="I13" s="210">
        <f>H13-E13</f>
        <v>-5237.5119999999997</v>
      </c>
      <c r="J13" s="211"/>
      <c r="K13" s="86"/>
      <c r="L13" s="354"/>
      <c r="M13" s="354"/>
      <c r="N13" s="354"/>
      <c r="O13" s="354"/>
      <c r="P13" s="354"/>
      <c r="Q13" s="357"/>
      <c r="R13" s="357"/>
      <c r="S13" s="357"/>
    </row>
    <row r="14" spans="2:19" s="78" customFormat="1" ht="47.25" x14ac:dyDescent="0.25">
      <c r="B14" s="539" t="s">
        <v>7</v>
      </c>
      <c r="C14" s="437" t="s">
        <v>270</v>
      </c>
      <c r="D14" s="615" t="s">
        <v>146</v>
      </c>
      <c r="E14" s="540">
        <v>1248.33</v>
      </c>
      <c r="F14" s="209"/>
      <c r="G14" s="384"/>
      <c r="H14" s="208"/>
      <c r="I14" s="538"/>
      <c r="J14" s="430"/>
      <c r="K14" s="86"/>
      <c r="L14" s="354"/>
      <c r="M14" s="354"/>
      <c r="N14" s="354"/>
      <c r="O14" s="354"/>
      <c r="P14" s="354"/>
      <c r="Q14" s="357"/>
      <c r="R14" s="357"/>
      <c r="S14" s="357"/>
    </row>
    <row r="15" spans="2:19" s="78" customFormat="1" ht="47.25" x14ac:dyDescent="0.25">
      <c r="B15" s="539" t="s">
        <v>8</v>
      </c>
      <c r="C15" s="437" t="s">
        <v>271</v>
      </c>
      <c r="D15" s="616"/>
      <c r="E15" s="540">
        <v>1005</v>
      </c>
      <c r="F15" s="209"/>
      <c r="G15" s="384"/>
      <c r="H15" s="208"/>
      <c r="I15" s="538"/>
      <c r="J15" s="430"/>
      <c r="K15" s="86"/>
      <c r="L15" s="354"/>
      <c r="M15" s="354"/>
      <c r="N15" s="354"/>
      <c r="O15" s="354"/>
      <c r="P15" s="354"/>
      <c r="Q15" s="357"/>
      <c r="R15" s="357"/>
      <c r="S15" s="357"/>
    </row>
    <row r="16" spans="2:19" s="78" customFormat="1" ht="47.25" x14ac:dyDescent="0.25">
      <c r="B16" s="539" t="s">
        <v>9</v>
      </c>
      <c r="C16" s="437" t="s">
        <v>272</v>
      </c>
      <c r="D16" s="616"/>
      <c r="E16" s="540">
        <v>1424.17</v>
      </c>
      <c r="F16" s="209"/>
      <c r="G16" s="384"/>
      <c r="H16" s="208"/>
      <c r="I16" s="538"/>
      <c r="J16" s="430"/>
      <c r="K16" s="86"/>
      <c r="L16" s="354"/>
      <c r="M16" s="354"/>
      <c r="N16" s="354"/>
      <c r="O16" s="354"/>
      <c r="P16" s="354"/>
      <c r="Q16" s="357"/>
      <c r="R16" s="357"/>
      <c r="S16" s="357"/>
    </row>
    <row r="17" spans="2:19" s="78" customFormat="1" ht="15.75" customHeight="1" x14ac:dyDescent="0.25">
      <c r="B17" s="539" t="s">
        <v>10</v>
      </c>
      <c r="C17" s="437" t="s">
        <v>158</v>
      </c>
      <c r="D17" s="617"/>
      <c r="E17" s="540">
        <v>1897.6669225999985</v>
      </c>
      <c r="F17" s="209"/>
      <c r="G17" s="384"/>
      <c r="H17" s="208"/>
      <c r="I17" s="538"/>
      <c r="J17" s="430"/>
      <c r="K17" s="86"/>
      <c r="L17" s="354"/>
      <c r="M17" s="354"/>
      <c r="N17" s="354"/>
      <c r="O17" s="354"/>
      <c r="P17" s="354"/>
      <c r="Q17" s="357"/>
      <c r="R17" s="357"/>
      <c r="S17" s="357"/>
    </row>
    <row r="18" spans="2:19" ht="15.75" customHeight="1" x14ac:dyDescent="0.25">
      <c r="B18" s="214" t="s">
        <v>11</v>
      </c>
      <c r="C18" s="214"/>
      <c r="D18" s="214"/>
      <c r="E18" s="543"/>
      <c r="F18" s="212" t="s">
        <v>157</v>
      </c>
      <c r="G18" s="583" t="s">
        <v>146</v>
      </c>
      <c r="H18" s="201">
        <v>232.52</v>
      </c>
      <c r="I18" s="619">
        <f>H18+H19-E18</f>
        <v>692.95</v>
      </c>
      <c r="J18" s="621" t="s">
        <v>233</v>
      </c>
      <c r="L18" s="350"/>
      <c r="M18" s="352"/>
      <c r="O18" s="352"/>
      <c r="P18" s="350"/>
      <c r="Q18" s="351"/>
      <c r="R18" s="353"/>
      <c r="S18" s="355"/>
    </row>
    <row r="19" spans="2:19" ht="135.75" customHeight="1" x14ac:dyDescent="0.25">
      <c r="B19" s="225" t="s">
        <v>156</v>
      </c>
      <c r="C19" s="225"/>
      <c r="D19" s="214"/>
      <c r="E19" s="543"/>
      <c r="F19" s="212" t="s">
        <v>215</v>
      </c>
      <c r="G19" s="601"/>
      <c r="H19" s="201">
        <v>460.43</v>
      </c>
      <c r="I19" s="620"/>
      <c r="J19" s="622"/>
      <c r="L19" s="350"/>
      <c r="M19" s="352"/>
      <c r="N19" s="350"/>
      <c r="O19" s="352"/>
      <c r="P19" s="350"/>
      <c r="Q19" s="351"/>
      <c r="R19" s="353"/>
      <c r="S19" s="355"/>
    </row>
    <row r="20" spans="2:19" ht="18.75" customHeight="1" x14ac:dyDescent="0.25">
      <c r="B20" s="194"/>
      <c r="C20" s="209" t="s">
        <v>24</v>
      </c>
      <c r="D20" s="194"/>
      <c r="E20" s="213">
        <f>SUM(E14:E19)</f>
        <v>5575.1669225999985</v>
      </c>
      <c r="F20" s="200"/>
      <c r="G20" s="214"/>
      <c r="H20" s="215">
        <f>SUM(H18:H19)</f>
        <v>692.95</v>
      </c>
      <c r="I20" s="213">
        <f>SUM(I18:I19)</f>
        <v>692.95</v>
      </c>
      <c r="J20" s="206"/>
      <c r="K20" s="87"/>
      <c r="L20" s="354"/>
      <c r="M20" s="354"/>
      <c r="N20" s="354"/>
      <c r="O20" s="354"/>
      <c r="P20" s="354"/>
      <c r="Q20" s="355"/>
      <c r="R20" s="355"/>
      <c r="S20" s="355"/>
    </row>
    <row r="21" spans="2:19" ht="31.5" x14ac:dyDescent="0.25">
      <c r="B21" s="194" t="s">
        <v>7</v>
      </c>
      <c r="C21" s="608" t="s">
        <v>158</v>
      </c>
      <c r="D21" s="583" t="s">
        <v>147</v>
      </c>
      <c r="E21" s="610">
        <v>5718.1142024954597</v>
      </c>
      <c r="F21" s="536" t="s">
        <v>240</v>
      </c>
      <c r="G21" s="583" t="s">
        <v>147</v>
      </c>
      <c r="H21" s="201">
        <v>404.54495000000003</v>
      </c>
      <c r="I21" s="598">
        <f>H21+H22+H23-E21</f>
        <v>-4131.4321724954598</v>
      </c>
      <c r="J21" s="612" t="s">
        <v>251</v>
      </c>
      <c r="K21" s="88"/>
      <c r="L21" s="356"/>
      <c r="M21" s="356"/>
      <c r="N21" s="356"/>
      <c r="O21" s="356"/>
      <c r="P21" s="356"/>
      <c r="Q21" s="355"/>
      <c r="R21" s="355"/>
      <c r="S21" s="355"/>
    </row>
    <row r="22" spans="2:19" ht="31.5" x14ac:dyDescent="0.25">
      <c r="B22" s="379" t="s">
        <v>8</v>
      </c>
      <c r="C22" s="609"/>
      <c r="D22" s="601"/>
      <c r="E22" s="611"/>
      <c r="F22" s="536" t="s">
        <v>241</v>
      </c>
      <c r="G22" s="601"/>
      <c r="H22" s="201">
        <v>589.6799299999999</v>
      </c>
      <c r="I22" s="599"/>
      <c r="J22" s="613"/>
      <c r="K22" s="88"/>
      <c r="L22" s="356"/>
      <c r="M22" s="356"/>
      <c r="N22" s="356"/>
      <c r="O22" s="356"/>
      <c r="P22" s="356"/>
      <c r="Q22" s="355"/>
      <c r="R22" s="355"/>
      <c r="S22" s="355"/>
    </row>
    <row r="23" spans="2:19" ht="31.5" x14ac:dyDescent="0.25">
      <c r="B23" s="379" t="s">
        <v>9</v>
      </c>
      <c r="C23" s="609"/>
      <c r="D23" s="584"/>
      <c r="E23" s="611"/>
      <c r="F23" s="536" t="s">
        <v>242</v>
      </c>
      <c r="G23" s="584"/>
      <c r="H23" s="201">
        <v>592.45715000000007</v>
      </c>
      <c r="I23" s="600"/>
      <c r="J23" s="614"/>
      <c r="K23" s="88"/>
      <c r="L23" s="356"/>
      <c r="M23" s="356"/>
      <c r="N23" s="356"/>
      <c r="O23" s="356"/>
      <c r="P23" s="356"/>
      <c r="Q23" s="355"/>
      <c r="R23" s="355"/>
      <c r="S23" s="355"/>
    </row>
    <row r="24" spans="2:19" ht="15.75" customHeight="1" x14ac:dyDescent="0.25">
      <c r="B24" s="379" t="s">
        <v>10</v>
      </c>
      <c r="C24" s="200"/>
      <c r="D24" s="378"/>
      <c r="E24" s="201"/>
      <c r="F24" s="536" t="s">
        <v>263</v>
      </c>
      <c r="G24" s="380"/>
      <c r="H24" s="529">
        <v>63.561709999999998</v>
      </c>
      <c r="I24" s="201">
        <f>H24-E24</f>
        <v>63.561709999999998</v>
      </c>
      <c r="J24" s="206"/>
      <c r="K24" s="88"/>
      <c r="L24" s="356"/>
      <c r="M24" s="356"/>
      <c r="N24" s="356"/>
      <c r="O24" s="356"/>
      <c r="P24" s="356"/>
      <c r="Q24" s="355"/>
      <c r="R24" s="355"/>
      <c r="S24" s="355"/>
    </row>
    <row r="25" spans="2:19" ht="15.75" customHeight="1" x14ac:dyDescent="0.25">
      <c r="B25" s="379"/>
      <c r="C25" s="209" t="s">
        <v>24</v>
      </c>
      <c r="D25" s="379"/>
      <c r="E25" s="213">
        <f>SUM(E21:E24)</f>
        <v>5718.1142024954597</v>
      </c>
      <c r="F25" s="200"/>
      <c r="G25" s="214"/>
      <c r="H25" s="213">
        <f>SUM(H21:H24)</f>
        <v>1650.2437399999999</v>
      </c>
      <c r="I25" s="213">
        <f>SUM(I21:I24)</f>
        <v>-4067.8704624954598</v>
      </c>
      <c r="J25" s="206"/>
      <c r="K25" s="88"/>
      <c r="L25" s="356"/>
      <c r="M25" s="356"/>
      <c r="N25" s="356"/>
      <c r="O25" s="356"/>
      <c r="P25" s="356"/>
      <c r="Q25" s="355"/>
      <c r="R25" s="355"/>
      <c r="S25" s="355"/>
    </row>
    <row r="26" spans="2:19" ht="15.75" hidden="1" customHeight="1" x14ac:dyDescent="0.25">
      <c r="B26" s="379"/>
      <c r="C26" s="200"/>
      <c r="D26" s="378"/>
      <c r="E26" s="201"/>
      <c r="F26" s="200"/>
      <c r="G26" s="378"/>
      <c r="H26" s="201"/>
      <c r="I26" s="201"/>
      <c r="J26" s="206"/>
      <c r="K26" s="88"/>
      <c r="L26" s="356"/>
      <c r="M26" s="356"/>
      <c r="N26" s="356"/>
      <c r="O26" s="356"/>
      <c r="P26" s="356"/>
      <c r="Q26" s="355"/>
      <c r="R26" s="355"/>
      <c r="S26" s="355"/>
    </row>
    <row r="27" spans="2:19" ht="15.75" hidden="1" customHeight="1" x14ac:dyDescent="0.25">
      <c r="B27" s="194" t="s">
        <v>159</v>
      </c>
      <c r="C27" s="200" t="s">
        <v>158</v>
      </c>
      <c r="D27" s="216" t="s">
        <v>148</v>
      </c>
      <c r="E27" s="201">
        <f>[4]Билиб!$AH$51</f>
        <v>5893.0531728342039</v>
      </c>
      <c r="F27" s="200"/>
      <c r="G27" s="216"/>
      <c r="H27" s="201"/>
      <c r="I27" s="201"/>
      <c r="J27" s="206"/>
      <c r="K27" s="88"/>
      <c r="L27" s="356"/>
      <c r="M27" s="356"/>
      <c r="N27" s="356"/>
      <c r="O27" s="356"/>
      <c r="P27" s="356"/>
      <c r="Q27" s="355"/>
      <c r="R27" s="355"/>
      <c r="S27" s="355"/>
    </row>
    <row r="28" spans="2:19" ht="15.75" hidden="1" customHeight="1" x14ac:dyDescent="0.25">
      <c r="B28" s="194" t="s">
        <v>160</v>
      </c>
      <c r="C28" s="200" t="s">
        <v>158</v>
      </c>
      <c r="D28" s="216" t="s">
        <v>150</v>
      </c>
      <c r="E28" s="201">
        <f>[4]Билиб!$AL$51</f>
        <v>6067.487546750096</v>
      </c>
      <c r="F28" s="200"/>
      <c r="G28" s="216"/>
      <c r="H28" s="201"/>
      <c r="I28" s="201"/>
      <c r="J28" s="206"/>
      <c r="K28" s="88"/>
      <c r="L28" s="356"/>
      <c r="M28" s="356"/>
      <c r="N28" s="356"/>
      <c r="O28" s="356"/>
      <c r="P28" s="356"/>
      <c r="Q28" s="355"/>
      <c r="R28" s="355"/>
      <c r="S28" s="355"/>
    </row>
    <row r="29" spans="2:19" ht="15.75" customHeight="1" x14ac:dyDescent="0.25">
      <c r="B29" s="196" t="s">
        <v>12</v>
      </c>
      <c r="C29" s="605" t="s">
        <v>5</v>
      </c>
      <c r="D29" s="606"/>
      <c r="E29" s="606"/>
      <c r="F29" s="606"/>
      <c r="G29" s="606"/>
      <c r="H29" s="606"/>
      <c r="I29" s="606"/>
      <c r="J29" s="607"/>
      <c r="K29" s="88"/>
      <c r="L29" s="356"/>
      <c r="M29" s="356"/>
      <c r="N29" s="356"/>
      <c r="O29" s="356"/>
      <c r="P29" s="356"/>
      <c r="Q29" s="351"/>
      <c r="R29" s="350"/>
      <c r="S29" s="355"/>
    </row>
    <row r="30" spans="2:19" ht="94.5" x14ac:dyDescent="0.25">
      <c r="B30" s="197" t="s">
        <v>13</v>
      </c>
      <c r="C30" s="217" t="s">
        <v>161</v>
      </c>
      <c r="D30" s="583" t="s">
        <v>145</v>
      </c>
      <c r="E30" s="218">
        <v>2274</v>
      </c>
      <c r="F30" s="205"/>
      <c r="G30" s="583" t="s">
        <v>145</v>
      </c>
      <c r="H30" s="219"/>
      <c r="I30" s="218">
        <f t="shared" ref="I30:I39" si="1">H30-E30</f>
        <v>-2274</v>
      </c>
      <c r="J30" s="220" t="s">
        <v>206</v>
      </c>
      <c r="K30" s="88"/>
      <c r="L30" s="350"/>
      <c r="M30" s="350"/>
      <c r="N30" s="350"/>
      <c r="O30" s="350"/>
      <c r="P30" s="350"/>
      <c r="Q30" s="351"/>
      <c r="R30" s="350"/>
      <c r="S30" s="355"/>
    </row>
    <row r="31" spans="2:19" ht="47.25" x14ac:dyDescent="0.25">
      <c r="B31" s="197" t="s">
        <v>14</v>
      </c>
      <c r="C31" s="217"/>
      <c r="D31" s="584"/>
      <c r="E31" s="218"/>
      <c r="F31" s="221" t="s">
        <v>266</v>
      </c>
      <c r="G31" s="584"/>
      <c r="H31" s="219">
        <v>65.266000000000005</v>
      </c>
      <c r="I31" s="218">
        <f t="shared" si="1"/>
        <v>65.266000000000005</v>
      </c>
      <c r="J31" s="202" t="s">
        <v>185</v>
      </c>
      <c r="K31" s="88"/>
      <c r="L31" s="356"/>
      <c r="M31" s="356"/>
      <c r="N31" s="356"/>
      <c r="O31" s="356"/>
      <c r="P31" s="356"/>
      <c r="Q31" s="355"/>
      <c r="R31" s="355"/>
      <c r="S31" s="355"/>
    </row>
    <row r="32" spans="2:19" s="78" customFormat="1" ht="15.75" customHeight="1" x14ac:dyDescent="0.25">
      <c r="B32" s="196"/>
      <c r="C32" s="207" t="s">
        <v>24</v>
      </c>
      <c r="D32" s="222"/>
      <c r="E32" s="208">
        <f>SUM(E30:E31)</f>
        <v>2274</v>
      </c>
      <c r="F32" s="209"/>
      <c r="G32" s="196"/>
      <c r="H32" s="208">
        <f>SUM(H30:H31)</f>
        <v>65.266000000000005</v>
      </c>
      <c r="I32" s="210">
        <f t="shared" si="1"/>
        <v>-2208.7339999999999</v>
      </c>
      <c r="J32" s="211"/>
      <c r="K32" s="89"/>
      <c r="L32" s="356"/>
      <c r="M32" s="356"/>
      <c r="N32" s="356"/>
      <c r="O32" s="356"/>
      <c r="P32" s="356"/>
      <c r="Q32" s="355"/>
      <c r="R32" s="355"/>
      <c r="S32" s="357"/>
    </row>
    <row r="33" spans="2:19" s="78" customFormat="1" ht="63" x14ac:dyDescent="0.25">
      <c r="B33" s="383" t="s">
        <v>13</v>
      </c>
      <c r="C33" s="544" t="s">
        <v>273</v>
      </c>
      <c r="D33" s="583" t="s">
        <v>146</v>
      </c>
      <c r="E33" s="540">
        <v>1451.67</v>
      </c>
      <c r="F33" s="209"/>
      <c r="G33" s="583" t="s">
        <v>146</v>
      </c>
      <c r="H33" s="208"/>
      <c r="I33" s="199">
        <f t="shared" si="1"/>
        <v>-1451.67</v>
      </c>
      <c r="J33" s="211"/>
      <c r="K33" s="89"/>
      <c r="L33" s="356"/>
      <c r="M33" s="356"/>
      <c r="N33" s="356"/>
      <c r="O33" s="356"/>
      <c r="P33" s="356"/>
      <c r="Q33" s="355"/>
      <c r="R33" s="355"/>
      <c r="S33" s="357"/>
    </row>
    <row r="34" spans="2:19" ht="64.5" customHeight="1" x14ac:dyDescent="0.25">
      <c r="B34" s="194" t="s">
        <v>14</v>
      </c>
      <c r="C34" s="544" t="s">
        <v>158</v>
      </c>
      <c r="D34" s="584"/>
      <c r="E34" s="545">
        <v>867.12780000000021</v>
      </c>
      <c r="F34" s="200"/>
      <c r="G34" s="584"/>
      <c r="H34" s="201"/>
      <c r="I34" s="199">
        <f t="shared" si="1"/>
        <v>-867.12780000000021</v>
      </c>
      <c r="J34" s="202" t="s">
        <v>234</v>
      </c>
      <c r="K34" s="87"/>
      <c r="L34" s="356"/>
      <c r="M34" s="356"/>
      <c r="N34" s="356"/>
      <c r="O34" s="350"/>
      <c r="P34" s="356"/>
      <c r="Q34" s="355"/>
      <c r="R34" s="355"/>
      <c r="S34" s="355"/>
    </row>
    <row r="35" spans="2:19" x14ac:dyDescent="0.25">
      <c r="B35" s="196"/>
      <c r="C35" s="207" t="s">
        <v>24</v>
      </c>
      <c r="D35" s="222"/>
      <c r="E35" s="208">
        <f>SUM(E33:E34)</f>
        <v>2318.7978000000003</v>
      </c>
      <c r="F35" s="209"/>
      <c r="G35" s="196"/>
      <c r="H35" s="208">
        <f>SUM(H34)</f>
        <v>0</v>
      </c>
      <c r="I35" s="210">
        <f t="shared" si="1"/>
        <v>-2318.7978000000003</v>
      </c>
      <c r="J35" s="211"/>
      <c r="K35" s="87"/>
      <c r="L35" s="356"/>
      <c r="M35" s="356"/>
      <c r="N35" s="356"/>
      <c r="O35" s="350"/>
      <c r="P35" s="356"/>
      <c r="Q35" s="355"/>
      <c r="R35" s="355"/>
      <c r="S35" s="355"/>
    </row>
    <row r="36" spans="2:19" ht="31.5" x14ac:dyDescent="0.25">
      <c r="B36" s="197" t="s">
        <v>13</v>
      </c>
      <c r="C36" s="422" t="s">
        <v>158</v>
      </c>
      <c r="D36" s="378" t="s">
        <v>147</v>
      </c>
      <c r="E36" s="201">
        <v>2378.2517755919998</v>
      </c>
      <c r="F36" s="209"/>
      <c r="G36" s="429"/>
      <c r="H36" s="208"/>
      <c r="I36" s="231">
        <f t="shared" si="1"/>
        <v>-2378.2517755919998</v>
      </c>
      <c r="J36" s="430"/>
      <c r="K36" s="87"/>
      <c r="L36" s="356"/>
      <c r="M36" s="356"/>
      <c r="N36" s="356"/>
      <c r="O36" s="350"/>
      <c r="P36" s="356"/>
      <c r="Q36" s="355"/>
      <c r="R36" s="355"/>
      <c r="S36" s="355"/>
    </row>
    <row r="37" spans="2:19" ht="47.25" x14ac:dyDescent="0.25">
      <c r="B37" s="197" t="s">
        <v>14</v>
      </c>
      <c r="C37" s="424"/>
      <c r="D37" s="426"/>
      <c r="E37" s="427"/>
      <c r="F37" s="423" t="s">
        <v>243</v>
      </c>
      <c r="G37" s="627" t="s">
        <v>147</v>
      </c>
      <c r="H37" s="425">
        <v>499</v>
      </c>
      <c r="I37" s="231">
        <f t="shared" si="1"/>
        <v>499</v>
      </c>
      <c r="J37" s="673" t="s">
        <v>282</v>
      </c>
      <c r="K37" s="87"/>
      <c r="L37" s="356"/>
      <c r="M37" s="356"/>
      <c r="N37" s="356"/>
      <c r="O37" s="350"/>
      <c r="P37" s="356"/>
      <c r="Q37" s="355"/>
      <c r="R37" s="355"/>
      <c r="S37" s="355"/>
    </row>
    <row r="38" spans="2:19" ht="78.75" x14ac:dyDescent="0.25">
      <c r="B38" s="197" t="s">
        <v>247</v>
      </c>
      <c r="C38" s="424"/>
      <c r="D38" s="426"/>
      <c r="E38" s="427"/>
      <c r="F38" s="424" t="s">
        <v>244</v>
      </c>
      <c r="G38" s="628"/>
      <c r="H38" s="425">
        <v>316.67</v>
      </c>
      <c r="I38" s="231">
        <f t="shared" si="1"/>
        <v>316.67</v>
      </c>
      <c r="J38" s="674" t="s">
        <v>283</v>
      </c>
      <c r="K38" s="87"/>
      <c r="L38" s="356"/>
      <c r="M38" s="356"/>
      <c r="N38" s="356"/>
      <c r="O38" s="350"/>
      <c r="P38" s="356"/>
      <c r="Q38" s="355"/>
      <c r="R38" s="355"/>
      <c r="S38" s="355"/>
    </row>
    <row r="39" spans="2:19" x14ac:dyDescent="0.25">
      <c r="B39" s="196"/>
      <c r="C39" s="207" t="s">
        <v>24</v>
      </c>
      <c r="D39" s="222"/>
      <c r="E39" s="208">
        <f>SUM(E36:E38)</f>
        <v>2378.2517755919998</v>
      </c>
      <c r="F39" s="209"/>
      <c r="G39" s="196"/>
      <c r="H39" s="208">
        <f>SUM(H37:H38)</f>
        <v>815.67000000000007</v>
      </c>
      <c r="I39" s="210">
        <f t="shared" si="1"/>
        <v>-1562.5817755919998</v>
      </c>
      <c r="J39" s="211"/>
      <c r="K39" s="87"/>
      <c r="L39" s="356"/>
      <c r="M39" s="356"/>
      <c r="N39" s="356"/>
      <c r="O39" s="350"/>
      <c r="P39" s="356"/>
      <c r="Q39" s="355"/>
      <c r="R39" s="355"/>
      <c r="S39" s="355"/>
    </row>
    <row r="40" spans="2:19" ht="15.75" hidden="1" customHeight="1" x14ac:dyDescent="0.25">
      <c r="B40" s="379"/>
      <c r="C40" s="424"/>
      <c r="D40" s="426"/>
      <c r="E40" s="427"/>
      <c r="F40" s="424"/>
      <c r="G40" s="424"/>
      <c r="H40" s="425"/>
      <c r="I40" s="199"/>
      <c r="J40" s="206"/>
      <c r="K40" s="87"/>
      <c r="L40" s="356"/>
      <c r="M40" s="356"/>
      <c r="N40" s="356"/>
      <c r="O40" s="356"/>
      <c r="P40" s="356"/>
      <c r="Q40" s="355"/>
      <c r="R40" s="355"/>
      <c r="S40" s="355"/>
    </row>
    <row r="41" spans="2:19" ht="15.75" hidden="1" customHeight="1" x14ac:dyDescent="0.25">
      <c r="B41" s="194" t="s">
        <v>162</v>
      </c>
      <c r="C41" s="214" t="s">
        <v>158</v>
      </c>
      <c r="D41" s="216" t="s">
        <v>148</v>
      </c>
      <c r="E41" s="199"/>
      <c r="F41" s="214"/>
      <c r="G41" s="214"/>
      <c r="H41" s="201"/>
      <c r="I41" s="199"/>
      <c r="J41" s="206"/>
      <c r="K41" s="87"/>
      <c r="L41" s="356"/>
      <c r="M41" s="356"/>
      <c r="N41" s="356"/>
      <c r="O41" s="356"/>
      <c r="P41" s="356"/>
      <c r="Q41" s="355"/>
      <c r="R41" s="355"/>
      <c r="S41" s="355"/>
    </row>
    <row r="42" spans="2:19" ht="15.75" hidden="1" customHeight="1" x14ac:dyDescent="0.25">
      <c r="B42" s="194" t="s">
        <v>163</v>
      </c>
      <c r="C42" s="214" t="s">
        <v>158</v>
      </c>
      <c r="D42" s="216" t="s">
        <v>150</v>
      </c>
      <c r="E42" s="199"/>
      <c r="F42" s="214"/>
      <c r="G42" s="214"/>
      <c r="H42" s="201"/>
      <c r="I42" s="199"/>
      <c r="J42" s="206"/>
      <c r="K42" s="87"/>
      <c r="L42" s="356"/>
      <c r="M42" s="356"/>
      <c r="N42" s="356"/>
      <c r="O42" s="356"/>
      <c r="P42" s="356"/>
      <c r="Q42" s="355"/>
      <c r="R42" s="355"/>
      <c r="S42" s="355"/>
    </row>
    <row r="43" spans="2:19" ht="15.75" hidden="1" customHeight="1" x14ac:dyDescent="0.25">
      <c r="B43" s="196"/>
      <c r="C43" s="207"/>
      <c r="D43" s="222"/>
      <c r="E43" s="213"/>
      <c r="F43" s="209"/>
      <c r="G43" s="196"/>
      <c r="H43" s="208"/>
      <c r="I43" s="213"/>
      <c r="J43" s="211"/>
      <c r="K43" s="87"/>
      <c r="L43" s="356"/>
      <c r="M43" s="356"/>
      <c r="N43" s="356"/>
      <c r="O43" s="356"/>
      <c r="P43" s="356"/>
      <c r="Q43" s="355"/>
      <c r="R43" s="355"/>
      <c r="S43" s="355"/>
    </row>
    <row r="44" spans="2:19" s="546" customFormat="1" ht="15.75" customHeight="1" x14ac:dyDescent="0.25">
      <c r="B44" s="547" t="s">
        <v>20</v>
      </c>
      <c r="C44" s="632" t="s">
        <v>16</v>
      </c>
      <c r="D44" s="633"/>
      <c r="E44" s="633"/>
      <c r="F44" s="633"/>
      <c r="G44" s="633"/>
      <c r="H44" s="633"/>
      <c r="I44" s="633"/>
      <c r="J44" s="634"/>
      <c r="K44" s="548"/>
      <c r="L44" s="356"/>
      <c r="M44" s="356"/>
      <c r="N44" s="356"/>
      <c r="O44" s="356"/>
      <c r="P44" s="356"/>
      <c r="Q44" s="355"/>
      <c r="R44" s="355"/>
      <c r="S44" s="355"/>
    </row>
    <row r="45" spans="2:19" s="546" customFormat="1" ht="47.25" x14ac:dyDescent="0.25">
      <c r="B45" s="197" t="s">
        <v>40</v>
      </c>
      <c r="C45" s="198" t="s">
        <v>164</v>
      </c>
      <c r="D45" s="583" t="s">
        <v>145</v>
      </c>
      <c r="E45" s="206">
        <v>807</v>
      </c>
      <c r="F45" s="549"/>
      <c r="G45" s="550"/>
      <c r="H45" s="550"/>
      <c r="I45" s="219">
        <f t="shared" ref="I45:I50" si="2">H45-E45</f>
        <v>-807</v>
      </c>
      <c r="J45" s="202" t="s">
        <v>207</v>
      </c>
      <c r="K45" s="548"/>
      <c r="L45" s="356"/>
      <c r="M45" s="356"/>
      <c r="N45" s="356"/>
      <c r="O45" s="356"/>
      <c r="P45" s="356"/>
      <c r="Q45" s="355"/>
      <c r="R45" s="355"/>
      <c r="S45" s="355"/>
    </row>
    <row r="46" spans="2:19" ht="52.5" customHeight="1" x14ac:dyDescent="0.25">
      <c r="B46" s="197" t="s">
        <v>245</v>
      </c>
      <c r="C46" s="198" t="s">
        <v>274</v>
      </c>
      <c r="D46" s="584"/>
      <c r="E46" s="201">
        <v>684</v>
      </c>
      <c r="F46" s="200"/>
      <c r="G46" s="379"/>
      <c r="H46" s="201"/>
      <c r="I46" s="219">
        <f t="shared" si="2"/>
        <v>-684</v>
      </c>
      <c r="J46" s="202" t="s">
        <v>207</v>
      </c>
      <c r="K46" s="87"/>
      <c r="L46" s="356"/>
      <c r="M46" s="356"/>
      <c r="N46" s="356"/>
      <c r="O46" s="356"/>
      <c r="P46" s="356"/>
      <c r="Q46" s="355"/>
      <c r="R46" s="355"/>
      <c r="S46" s="355"/>
    </row>
    <row r="47" spans="2:19" s="78" customFormat="1" ht="15.75" customHeight="1" x14ac:dyDescent="0.25">
      <c r="B47" s="196"/>
      <c r="C47" s="207" t="s">
        <v>24</v>
      </c>
      <c r="D47" s="225"/>
      <c r="E47" s="208">
        <f>SUM(E46:E46)</f>
        <v>684</v>
      </c>
      <c r="F47" s="209"/>
      <c r="G47" s="379"/>
      <c r="H47" s="208">
        <f>SUM(H46:H46)</f>
        <v>0</v>
      </c>
      <c r="I47" s="223">
        <f t="shared" si="2"/>
        <v>-684</v>
      </c>
      <c r="J47" s="211"/>
      <c r="K47" s="87"/>
      <c r="L47" s="356"/>
      <c r="M47" s="356"/>
      <c r="N47" s="356"/>
      <c r="O47" s="356"/>
      <c r="P47" s="356"/>
      <c r="Q47" s="355"/>
      <c r="R47" s="355"/>
      <c r="S47" s="357"/>
    </row>
    <row r="48" spans="2:19" s="78" customFormat="1" ht="31.5" x14ac:dyDescent="0.25">
      <c r="B48" s="383" t="s">
        <v>40</v>
      </c>
      <c r="C48" s="551" t="s">
        <v>275</v>
      </c>
      <c r="D48" s="583" t="s">
        <v>146</v>
      </c>
      <c r="E48" s="201">
        <v>830.83</v>
      </c>
      <c r="F48" s="209"/>
      <c r="G48" s="383"/>
      <c r="H48" s="208"/>
      <c r="I48" s="199">
        <f t="shared" si="2"/>
        <v>-830.83</v>
      </c>
      <c r="J48" s="211"/>
      <c r="K48" s="87"/>
      <c r="L48" s="356"/>
      <c r="M48" s="356"/>
      <c r="N48" s="356"/>
      <c r="O48" s="356"/>
      <c r="P48" s="356"/>
      <c r="Q48" s="355"/>
      <c r="R48" s="355"/>
      <c r="S48" s="357"/>
    </row>
    <row r="49" spans="2:19" ht="47.25" x14ac:dyDescent="0.25">
      <c r="B49" s="194" t="s">
        <v>245</v>
      </c>
      <c r="C49" s="212" t="s">
        <v>158</v>
      </c>
      <c r="D49" s="584"/>
      <c r="E49" s="199">
        <v>689.54269999999997</v>
      </c>
      <c r="F49" s="212" t="s">
        <v>267</v>
      </c>
      <c r="G49" s="194" t="s">
        <v>146</v>
      </c>
      <c r="H49" s="204">
        <v>516.26900000000001</v>
      </c>
      <c r="I49" s="199">
        <f t="shared" si="2"/>
        <v>-173.27369999999996</v>
      </c>
      <c r="J49" s="202" t="s">
        <v>235</v>
      </c>
      <c r="K49" s="87"/>
      <c r="L49" s="350"/>
      <c r="M49" s="352"/>
      <c r="N49" s="358"/>
      <c r="O49" s="352"/>
      <c r="P49" s="350"/>
      <c r="Q49" s="351"/>
      <c r="R49" s="358"/>
      <c r="S49" s="355"/>
    </row>
    <row r="50" spans="2:19" ht="15.75" customHeight="1" x14ac:dyDescent="0.25">
      <c r="B50" s="194"/>
      <c r="C50" s="209" t="s">
        <v>24</v>
      </c>
      <c r="D50" s="216"/>
      <c r="E50" s="213">
        <f>SUM(E49:E49)</f>
        <v>689.54269999999997</v>
      </c>
      <c r="F50" s="200"/>
      <c r="G50" s="214"/>
      <c r="H50" s="215">
        <f>SUM(H49:H49)</f>
        <v>516.26900000000001</v>
      </c>
      <c r="I50" s="223">
        <f t="shared" si="2"/>
        <v>-173.27369999999996</v>
      </c>
      <c r="J50" s="206"/>
      <c r="K50" s="87"/>
      <c r="L50" s="354"/>
      <c r="M50" s="354"/>
      <c r="N50" s="354"/>
      <c r="O50" s="354"/>
      <c r="P50" s="354"/>
      <c r="Q50" s="355"/>
      <c r="R50" s="355"/>
      <c r="S50" s="363"/>
    </row>
    <row r="51" spans="2:19" ht="47.25" x14ac:dyDescent="0.25">
      <c r="B51" s="379" t="s">
        <v>40</v>
      </c>
      <c r="C51" s="431" t="s">
        <v>158</v>
      </c>
      <c r="D51" s="379" t="s">
        <v>147</v>
      </c>
      <c r="E51" s="199">
        <v>1559.3550560280003</v>
      </c>
      <c r="F51" s="428"/>
      <c r="G51" s="214"/>
      <c r="H51" s="215"/>
      <c r="I51" s="199">
        <f t="shared" ref="I51:I54" si="3">H51-E51</f>
        <v>-1559.3550560280003</v>
      </c>
      <c r="J51" s="433" t="s">
        <v>248</v>
      </c>
      <c r="K51" s="87"/>
      <c r="L51" s="354"/>
      <c r="M51" s="354"/>
      <c r="N51" s="354"/>
      <c r="O51" s="354"/>
      <c r="P51" s="354"/>
      <c r="Q51" s="355"/>
      <c r="R51" s="355"/>
      <c r="S51" s="363"/>
    </row>
    <row r="52" spans="2:19" ht="47.25" x14ac:dyDescent="0.25">
      <c r="B52" s="379" t="s">
        <v>245</v>
      </c>
      <c r="C52" s="431"/>
      <c r="D52" s="379"/>
      <c r="E52" s="213"/>
      <c r="F52" s="530" t="s">
        <v>246</v>
      </c>
      <c r="G52" s="629" t="s">
        <v>147</v>
      </c>
      <c r="H52" s="531">
        <v>600</v>
      </c>
      <c r="I52" s="199">
        <f t="shared" si="3"/>
        <v>600</v>
      </c>
      <c r="J52" s="433" t="s">
        <v>249</v>
      </c>
      <c r="K52" s="87"/>
      <c r="L52" s="354"/>
      <c r="M52" s="354"/>
      <c r="N52" s="354"/>
      <c r="O52" s="354"/>
      <c r="P52" s="354"/>
      <c r="Q52" s="355"/>
      <c r="R52" s="355"/>
      <c r="S52" s="363"/>
    </row>
    <row r="53" spans="2:19" ht="15.75" customHeight="1" x14ac:dyDescent="0.25">
      <c r="B53" s="379"/>
      <c r="C53" s="209"/>
      <c r="D53" s="378"/>
      <c r="E53" s="213"/>
      <c r="F53" s="421" t="s">
        <v>264</v>
      </c>
      <c r="G53" s="630"/>
      <c r="H53" s="531">
        <v>19.521999999999998</v>
      </c>
      <c r="I53" s="199">
        <f t="shared" si="3"/>
        <v>19.521999999999998</v>
      </c>
      <c r="J53" s="432"/>
      <c r="K53" s="87"/>
      <c r="L53" s="354"/>
      <c r="M53" s="354"/>
      <c r="N53" s="354"/>
      <c r="O53" s="354"/>
      <c r="P53" s="354"/>
      <c r="Q53" s="355"/>
      <c r="R53" s="355"/>
      <c r="S53" s="363"/>
    </row>
    <row r="54" spans="2:19" ht="15.75" hidden="1" customHeight="1" x14ac:dyDescent="0.25">
      <c r="B54" s="194"/>
      <c r="C54" s="214"/>
      <c r="D54" s="216"/>
      <c r="E54" s="201"/>
      <c r="F54" s="532"/>
      <c r="G54" s="631"/>
      <c r="H54" s="529"/>
      <c r="I54" s="199">
        <f t="shared" si="3"/>
        <v>0</v>
      </c>
      <c r="J54" s="206"/>
      <c r="K54" s="87"/>
      <c r="L54" s="356"/>
      <c r="M54" s="356"/>
      <c r="N54" s="356"/>
      <c r="O54" s="356"/>
      <c r="P54" s="356"/>
      <c r="Q54" s="355"/>
      <c r="R54" s="355"/>
      <c r="S54" s="355"/>
    </row>
    <row r="55" spans="2:19" ht="15.75" customHeight="1" x14ac:dyDescent="0.25">
      <c r="B55" s="379"/>
      <c r="C55" s="209" t="s">
        <v>24</v>
      </c>
      <c r="D55" s="378"/>
      <c r="E55" s="213">
        <f>SUM(E51:E54)</f>
        <v>1559.3550560280003</v>
      </c>
      <c r="F55" s="421"/>
      <c r="G55" s="532"/>
      <c r="H55" s="533">
        <f>SUM(H51:H54)</f>
        <v>619.52200000000005</v>
      </c>
      <c r="I55" s="223">
        <f>H55-E55</f>
        <v>-939.83305602800021</v>
      </c>
      <c r="J55" s="206"/>
      <c r="K55" s="87"/>
      <c r="L55" s="356"/>
      <c r="M55" s="356"/>
      <c r="N55" s="356"/>
      <c r="O55" s="356"/>
      <c r="P55" s="356"/>
      <c r="Q55" s="355"/>
      <c r="R55" s="355"/>
      <c r="S55" s="355"/>
    </row>
    <row r="56" spans="2:19" ht="15.75" hidden="1" customHeight="1" x14ac:dyDescent="0.25">
      <c r="B56" s="194"/>
      <c r="C56" s="214"/>
      <c r="D56" s="216"/>
      <c r="E56" s="201"/>
      <c r="F56" s="214"/>
      <c r="G56" s="216"/>
      <c r="H56" s="201"/>
      <c r="I56" s="201"/>
      <c r="J56" s="206"/>
      <c r="K56" s="87"/>
      <c r="L56" s="356"/>
      <c r="M56" s="356"/>
      <c r="N56" s="356"/>
      <c r="O56" s="356"/>
      <c r="P56" s="356"/>
      <c r="Q56" s="355"/>
      <c r="R56" s="355"/>
      <c r="S56" s="355"/>
    </row>
    <row r="57" spans="2:19" ht="15.75" customHeight="1" x14ac:dyDescent="0.25">
      <c r="B57" s="196" t="s">
        <v>42</v>
      </c>
      <c r="C57" s="605" t="s">
        <v>17</v>
      </c>
      <c r="D57" s="606"/>
      <c r="E57" s="606"/>
      <c r="F57" s="606"/>
      <c r="G57" s="606"/>
      <c r="H57" s="606"/>
      <c r="I57" s="606"/>
      <c r="J57" s="607"/>
      <c r="K57" s="87"/>
      <c r="L57" s="356"/>
      <c r="M57" s="356"/>
      <c r="N57" s="356"/>
      <c r="O57" s="356"/>
      <c r="P57" s="356"/>
      <c r="Q57" s="351"/>
      <c r="R57" s="350"/>
      <c r="S57" s="355"/>
    </row>
    <row r="58" spans="2:19" ht="31.5" x14ac:dyDescent="0.25">
      <c r="B58" s="197" t="s">
        <v>43</v>
      </c>
      <c r="C58" s="198" t="s">
        <v>165</v>
      </c>
      <c r="D58" s="585" t="s">
        <v>145</v>
      </c>
      <c r="E58" s="201">
        <v>1237.5999999999999</v>
      </c>
      <c r="F58" s="200"/>
      <c r="G58" s="583" t="s">
        <v>145</v>
      </c>
      <c r="H58" s="201"/>
      <c r="I58" s="218">
        <f t="shared" ref="I58:I65" si="4">H58-E58</f>
        <v>-1237.5999999999999</v>
      </c>
      <c r="J58" s="621" t="s">
        <v>208</v>
      </c>
      <c r="K58" s="87"/>
      <c r="L58" s="356"/>
      <c r="M58" s="356"/>
      <c r="N58" s="356"/>
      <c r="O58" s="356"/>
      <c r="P58" s="356"/>
      <c r="Q58" s="351"/>
      <c r="R58" s="350"/>
      <c r="S58" s="355"/>
    </row>
    <row r="59" spans="2:19" ht="47.25" x14ac:dyDescent="0.25">
      <c r="B59" s="197" t="s">
        <v>71</v>
      </c>
      <c r="C59" s="198" t="s">
        <v>166</v>
      </c>
      <c r="D59" s="585"/>
      <c r="E59" s="201">
        <v>300</v>
      </c>
      <c r="F59" s="200"/>
      <c r="G59" s="601"/>
      <c r="H59" s="201"/>
      <c r="I59" s="218">
        <f t="shared" si="4"/>
        <v>-300</v>
      </c>
      <c r="J59" s="635"/>
      <c r="K59" s="87"/>
      <c r="L59" s="356"/>
      <c r="M59" s="356"/>
      <c r="N59" s="356"/>
      <c r="O59" s="356"/>
      <c r="P59" s="356"/>
      <c r="Q59" s="351"/>
      <c r="R59" s="350"/>
      <c r="S59" s="355"/>
    </row>
    <row r="60" spans="2:19" ht="31.5" x14ac:dyDescent="0.25">
      <c r="B60" s="197" t="s">
        <v>72</v>
      </c>
      <c r="C60" s="198" t="s">
        <v>167</v>
      </c>
      <c r="D60" s="585"/>
      <c r="E60" s="201">
        <v>322</v>
      </c>
      <c r="F60" s="200"/>
      <c r="G60" s="601"/>
      <c r="H60" s="201"/>
      <c r="I60" s="218">
        <f t="shared" si="4"/>
        <v>-322</v>
      </c>
      <c r="J60" s="635"/>
      <c r="K60" s="87"/>
      <c r="L60" s="356"/>
      <c r="M60" s="356"/>
      <c r="N60" s="356"/>
      <c r="O60" s="356"/>
      <c r="P60" s="356"/>
      <c r="Q60" s="351"/>
      <c r="R60" s="350"/>
      <c r="S60" s="355"/>
    </row>
    <row r="61" spans="2:19" ht="31.5" x14ac:dyDescent="0.25">
      <c r="B61" s="197" t="s">
        <v>168</v>
      </c>
      <c r="C61" s="198" t="s">
        <v>169</v>
      </c>
      <c r="D61" s="585"/>
      <c r="E61" s="201">
        <v>1529.8</v>
      </c>
      <c r="F61" s="200"/>
      <c r="G61" s="601"/>
      <c r="H61" s="201"/>
      <c r="I61" s="218">
        <f t="shared" si="4"/>
        <v>-1529.8</v>
      </c>
      <c r="J61" s="622"/>
      <c r="K61" s="87"/>
      <c r="L61" s="350"/>
      <c r="M61" s="350"/>
      <c r="N61" s="350"/>
      <c r="O61" s="350"/>
      <c r="P61" s="350"/>
      <c r="Q61" s="349"/>
      <c r="R61" s="350"/>
      <c r="S61" s="355"/>
    </row>
    <row r="62" spans="2:19" ht="47.25" x14ac:dyDescent="0.25">
      <c r="B62" s="197" t="s">
        <v>170</v>
      </c>
      <c r="C62" s="203"/>
      <c r="D62" s="585"/>
      <c r="E62" s="201"/>
      <c r="F62" s="203" t="s">
        <v>186</v>
      </c>
      <c r="G62" s="601"/>
      <c r="H62" s="201">
        <v>473.87799999999999</v>
      </c>
      <c r="I62" s="218">
        <f t="shared" si="4"/>
        <v>473.87799999999999</v>
      </c>
      <c r="J62" s="202" t="s">
        <v>185</v>
      </c>
      <c r="K62" s="87"/>
      <c r="L62" s="356"/>
      <c r="M62" s="356"/>
      <c r="N62" s="356"/>
      <c r="O62" s="356"/>
      <c r="P62" s="356"/>
      <c r="Q62" s="355"/>
      <c r="R62" s="355"/>
      <c r="S62" s="355"/>
    </row>
    <row r="63" spans="2:19" s="78" customFormat="1" ht="15.75" customHeight="1" x14ac:dyDescent="0.25">
      <c r="B63" s="196"/>
      <c r="C63" s="207" t="s">
        <v>24</v>
      </c>
      <c r="D63" s="225"/>
      <c r="E63" s="208">
        <f>SUM(E58:E62)</f>
        <v>3389.3999999999996</v>
      </c>
      <c r="F63" s="209"/>
      <c r="G63" s="584"/>
      <c r="H63" s="208">
        <f>SUM(H58:H62)</f>
        <v>473.87799999999999</v>
      </c>
      <c r="I63" s="210">
        <f t="shared" si="4"/>
        <v>-2915.5219999999995</v>
      </c>
      <c r="J63" s="211"/>
      <c r="K63" s="87"/>
      <c r="L63" s="356"/>
      <c r="M63" s="356"/>
      <c r="N63" s="356"/>
      <c r="O63" s="356"/>
      <c r="P63" s="356"/>
      <c r="Q63" s="355"/>
      <c r="R63" s="355"/>
      <c r="S63" s="357"/>
    </row>
    <row r="64" spans="2:19" s="78" customFormat="1" ht="31.5" x14ac:dyDescent="0.25">
      <c r="B64" s="382" t="s">
        <v>43</v>
      </c>
      <c r="C64" s="551" t="s">
        <v>276</v>
      </c>
      <c r="D64" s="583" t="s">
        <v>146</v>
      </c>
      <c r="E64" s="228">
        <v>610.52</v>
      </c>
      <c r="F64" s="209"/>
      <c r="G64" s="384"/>
      <c r="H64" s="208"/>
      <c r="I64" s="218">
        <f t="shared" si="4"/>
        <v>-610.52</v>
      </c>
      <c r="J64" s="430"/>
      <c r="K64" s="87"/>
      <c r="L64" s="356"/>
      <c r="M64" s="356"/>
      <c r="N64" s="356"/>
      <c r="O64" s="356"/>
      <c r="P64" s="356"/>
      <c r="Q64" s="355"/>
      <c r="R64" s="355"/>
      <c r="S64" s="357"/>
    </row>
    <row r="65" spans="2:19" s="78" customFormat="1" ht="31.5" x14ac:dyDescent="0.25">
      <c r="B65" s="382" t="s">
        <v>71</v>
      </c>
      <c r="C65" s="551" t="s">
        <v>277</v>
      </c>
      <c r="D65" s="601"/>
      <c r="E65" s="228">
        <v>1132.93</v>
      </c>
      <c r="F65" s="209"/>
      <c r="G65" s="384"/>
      <c r="H65" s="208"/>
      <c r="I65" s="218">
        <f t="shared" si="4"/>
        <v>-1132.93</v>
      </c>
      <c r="J65" s="430"/>
      <c r="K65" s="87"/>
      <c r="L65" s="356"/>
      <c r="M65" s="356"/>
      <c r="N65" s="356"/>
      <c r="O65" s="356"/>
      <c r="P65" s="356"/>
      <c r="Q65" s="355"/>
      <c r="R65" s="355"/>
      <c r="S65" s="357"/>
    </row>
    <row r="66" spans="2:19" ht="63" customHeight="1" x14ac:dyDescent="0.25">
      <c r="B66" s="583" t="s">
        <v>72</v>
      </c>
      <c r="C66" s="623" t="s">
        <v>158</v>
      </c>
      <c r="D66" s="601"/>
      <c r="E66" s="619">
        <v>1712.7405543</v>
      </c>
      <c r="F66" s="214" t="s">
        <v>216</v>
      </c>
      <c r="G66" s="583" t="s">
        <v>146</v>
      </c>
      <c r="H66" s="201">
        <v>363.84</v>
      </c>
      <c r="I66" s="619">
        <f>H66+H67-E66</f>
        <v>-848.07055430000003</v>
      </c>
      <c r="J66" s="621" t="s">
        <v>236</v>
      </c>
      <c r="K66" s="87"/>
      <c r="L66" s="350"/>
      <c r="M66" s="352"/>
      <c r="N66" s="350"/>
      <c r="O66" s="352"/>
      <c r="P66" s="350"/>
      <c r="Q66" s="351"/>
      <c r="R66" s="352"/>
      <c r="S66" s="355"/>
    </row>
    <row r="67" spans="2:19" ht="121.5" customHeight="1" x14ac:dyDescent="0.25">
      <c r="B67" s="584"/>
      <c r="C67" s="624"/>
      <c r="D67" s="584"/>
      <c r="E67" s="620"/>
      <c r="F67" s="214" t="s">
        <v>268</v>
      </c>
      <c r="G67" s="584"/>
      <c r="H67" s="201">
        <v>500.83</v>
      </c>
      <c r="I67" s="620"/>
      <c r="J67" s="622"/>
      <c r="K67" s="87"/>
      <c r="L67" s="350"/>
      <c r="M67" s="352"/>
      <c r="N67" s="350"/>
      <c r="O67" s="352"/>
      <c r="P67" s="350"/>
      <c r="Q67" s="351"/>
      <c r="R67" s="352"/>
      <c r="S67" s="355"/>
    </row>
    <row r="68" spans="2:19" ht="15.75" customHeight="1" x14ac:dyDescent="0.25">
      <c r="B68" s="196"/>
      <c r="C68" s="207" t="s">
        <v>24</v>
      </c>
      <c r="D68" s="216"/>
      <c r="E68" s="213">
        <f>SUM(E64:E67)</f>
        <v>3456.1905543000003</v>
      </c>
      <c r="F68" s="214"/>
      <c r="G68" s="214"/>
      <c r="H68" s="208">
        <f>SUM(H66:H67)</f>
        <v>864.67</v>
      </c>
      <c r="I68" s="208">
        <f>SUM(I64:I67)</f>
        <v>-2591.5205543000002</v>
      </c>
      <c r="J68" s="206"/>
      <c r="K68" s="87"/>
      <c r="L68" s="354"/>
      <c r="M68" s="354"/>
      <c r="N68" s="354"/>
      <c r="O68" s="354"/>
      <c r="P68" s="354"/>
      <c r="Q68" s="355"/>
      <c r="R68" s="355"/>
      <c r="S68" s="355"/>
    </row>
    <row r="69" spans="2:19" ht="31.5" x14ac:dyDescent="0.25">
      <c r="B69" s="194" t="s">
        <v>43</v>
      </c>
      <c r="C69" s="214" t="s">
        <v>158</v>
      </c>
      <c r="D69" s="216" t="s">
        <v>147</v>
      </c>
      <c r="E69" s="201">
        <v>3544.8072801122498</v>
      </c>
      <c r="F69" s="214"/>
      <c r="G69" s="214"/>
      <c r="H69" s="201"/>
      <c r="I69" s="201">
        <f>H69-E69</f>
        <v>-3544.8072801122498</v>
      </c>
      <c r="J69" s="206"/>
      <c r="K69" s="87"/>
      <c r="L69" s="356"/>
      <c r="M69" s="356"/>
      <c r="N69" s="356"/>
      <c r="O69" s="356"/>
      <c r="P69" s="356"/>
      <c r="Q69" s="355"/>
      <c r="R69" s="355"/>
      <c r="S69" s="355"/>
    </row>
    <row r="70" spans="2:19" ht="141.75" x14ac:dyDescent="0.25">
      <c r="B70" s="194"/>
      <c r="C70" s="214"/>
      <c r="D70" s="216"/>
      <c r="E70" s="201"/>
      <c r="F70" s="214" t="s">
        <v>250</v>
      </c>
      <c r="G70" s="379" t="s">
        <v>147</v>
      </c>
      <c r="H70" s="201">
        <v>590.53587000000005</v>
      </c>
      <c r="I70" s="201">
        <f>H70-E70</f>
        <v>590.53587000000005</v>
      </c>
      <c r="J70" s="434" t="s">
        <v>252</v>
      </c>
      <c r="K70" s="87"/>
      <c r="L70" s="356"/>
      <c r="M70" s="356"/>
      <c r="N70" s="356"/>
      <c r="O70" s="356"/>
      <c r="P70" s="356"/>
      <c r="Q70" s="355"/>
      <c r="R70" s="355"/>
      <c r="S70" s="355"/>
    </row>
    <row r="71" spans="2:19" ht="15.75" customHeight="1" x14ac:dyDescent="0.25">
      <c r="B71" s="196"/>
      <c r="C71" s="207" t="s">
        <v>24</v>
      </c>
      <c r="D71" s="378"/>
      <c r="E71" s="213">
        <f>SUM(E69:E70)</f>
        <v>3544.8072801122498</v>
      </c>
      <c r="F71" s="214"/>
      <c r="G71" s="214"/>
      <c r="H71" s="213">
        <f>SUM(H69:H70)</f>
        <v>590.53587000000005</v>
      </c>
      <c r="I71" s="210">
        <f>H71-E71</f>
        <v>-2954.2714101122497</v>
      </c>
      <c r="J71" s="206"/>
      <c r="K71" s="87"/>
      <c r="L71" s="356"/>
      <c r="M71" s="356"/>
      <c r="N71" s="356"/>
      <c r="O71" s="356"/>
      <c r="P71" s="356"/>
      <c r="Q71" s="355"/>
      <c r="R71" s="355"/>
      <c r="S71" s="355"/>
    </row>
    <row r="72" spans="2:19" ht="15.75" customHeight="1" x14ac:dyDescent="0.25">
      <c r="B72" s="196" t="s">
        <v>44</v>
      </c>
      <c r="C72" s="605" t="s">
        <v>18</v>
      </c>
      <c r="D72" s="606"/>
      <c r="E72" s="606"/>
      <c r="F72" s="606"/>
      <c r="G72" s="606"/>
      <c r="H72" s="606"/>
      <c r="I72" s="606"/>
      <c r="J72" s="607"/>
      <c r="K72" s="87"/>
      <c r="L72" s="356"/>
      <c r="M72" s="356"/>
      <c r="N72" s="356"/>
      <c r="O72" s="356"/>
      <c r="P72" s="356"/>
      <c r="Q72" s="355"/>
      <c r="R72" s="355"/>
      <c r="S72" s="355"/>
    </row>
    <row r="73" spans="2:19" ht="46.5" customHeight="1" x14ac:dyDescent="0.25">
      <c r="B73" s="194" t="s">
        <v>45</v>
      </c>
      <c r="C73" s="214" t="s">
        <v>171</v>
      </c>
      <c r="D73" s="379" t="s">
        <v>145</v>
      </c>
      <c r="E73" s="201">
        <v>822</v>
      </c>
      <c r="F73" s="226" t="s">
        <v>201</v>
      </c>
      <c r="G73" s="379" t="s">
        <v>145</v>
      </c>
      <c r="H73" s="201">
        <v>389.49599999999998</v>
      </c>
      <c r="I73" s="219">
        <f>H73-E73</f>
        <v>-432.50400000000002</v>
      </c>
      <c r="J73" s="202" t="s">
        <v>185</v>
      </c>
      <c r="K73" s="87"/>
      <c r="L73" s="350"/>
      <c r="M73" s="350"/>
      <c r="N73" s="350"/>
      <c r="O73" s="350"/>
      <c r="P73" s="350"/>
      <c r="Q73" s="349"/>
      <c r="R73" s="350"/>
      <c r="S73" s="355"/>
    </row>
    <row r="74" spans="2:19" s="78" customFormat="1" ht="15.75" customHeight="1" x14ac:dyDescent="0.25">
      <c r="B74" s="196"/>
      <c r="C74" s="207" t="s">
        <v>24</v>
      </c>
      <c r="D74" s="225"/>
      <c r="E74" s="208">
        <f>SUM(E73:E73)</f>
        <v>822</v>
      </c>
      <c r="F74" s="209"/>
      <c r="G74" s="225"/>
      <c r="H74" s="208">
        <f>SUM(H73:H73)</f>
        <v>389.49599999999998</v>
      </c>
      <c r="I74" s="223">
        <f>H74-E74</f>
        <v>-432.50400000000002</v>
      </c>
      <c r="J74" s="211"/>
      <c r="K74" s="87"/>
      <c r="L74" s="359"/>
      <c r="M74" s="359"/>
      <c r="N74" s="359"/>
      <c r="O74" s="359"/>
      <c r="P74" s="359"/>
      <c r="Q74" s="357"/>
      <c r="R74" s="357"/>
      <c r="S74" s="357"/>
    </row>
    <row r="75" spans="2:19" s="78" customFormat="1" ht="47.25" x14ac:dyDescent="0.25">
      <c r="B75" s="383" t="s">
        <v>45</v>
      </c>
      <c r="C75" s="551" t="s">
        <v>278</v>
      </c>
      <c r="D75" s="583" t="s">
        <v>146</v>
      </c>
      <c r="E75" s="201">
        <v>733.33</v>
      </c>
      <c r="F75" s="209"/>
      <c r="G75" s="225"/>
      <c r="H75" s="208"/>
      <c r="I75" s="219">
        <f>H75-E75</f>
        <v>-733.33</v>
      </c>
      <c r="J75" s="211"/>
      <c r="K75" s="87"/>
      <c r="L75" s="359"/>
      <c r="M75" s="359"/>
      <c r="N75" s="359"/>
      <c r="O75" s="359"/>
      <c r="P75" s="359"/>
      <c r="Q75" s="357"/>
      <c r="R75" s="357"/>
      <c r="S75" s="357"/>
    </row>
    <row r="76" spans="2:19" ht="69" customHeight="1" x14ac:dyDescent="0.25">
      <c r="B76" s="194" t="s">
        <v>255</v>
      </c>
      <c r="C76" s="532" t="s">
        <v>158</v>
      </c>
      <c r="D76" s="584"/>
      <c r="E76" s="201">
        <v>104.8634</v>
      </c>
      <c r="F76" s="214" t="s">
        <v>269</v>
      </c>
      <c r="G76" s="194" t="s">
        <v>146</v>
      </c>
      <c r="H76" s="204">
        <v>715.95799999999997</v>
      </c>
      <c r="I76" s="199">
        <f>H76-E76</f>
        <v>611.09460000000001</v>
      </c>
      <c r="J76" s="206" t="s">
        <v>235</v>
      </c>
      <c r="K76" s="87"/>
      <c r="L76" s="350"/>
      <c r="M76" s="352"/>
      <c r="N76" s="358"/>
      <c r="O76" s="352"/>
      <c r="P76" s="350"/>
      <c r="Q76" s="364"/>
      <c r="R76" s="358"/>
      <c r="S76" s="355"/>
    </row>
    <row r="77" spans="2:19" ht="15.75" customHeight="1" x14ac:dyDescent="0.25">
      <c r="B77" s="194"/>
      <c r="C77" s="227" t="s">
        <v>24</v>
      </c>
      <c r="D77" s="222"/>
      <c r="E77" s="208">
        <f>SUM(E75:E76)</f>
        <v>838.1934</v>
      </c>
      <c r="F77" s="214"/>
      <c r="G77" s="224"/>
      <c r="H77" s="208">
        <f>SUM(H76:H76)</f>
        <v>715.95799999999997</v>
      </c>
      <c r="I77" s="208">
        <f>SUM(I75:I76)</f>
        <v>-122.23540000000003</v>
      </c>
      <c r="J77" s="206"/>
      <c r="K77" s="87"/>
      <c r="L77" s="354"/>
      <c r="M77" s="354"/>
      <c r="N77" s="354"/>
      <c r="O77" s="354"/>
      <c r="P77" s="354"/>
      <c r="Q77" s="355"/>
      <c r="R77" s="355"/>
      <c r="S77" s="363"/>
    </row>
    <row r="78" spans="2:19" ht="31.5" x14ac:dyDescent="0.25">
      <c r="B78" s="379" t="s">
        <v>45</v>
      </c>
      <c r="C78" s="214" t="s">
        <v>158</v>
      </c>
      <c r="D78" s="216" t="s">
        <v>147</v>
      </c>
      <c r="E78" s="201">
        <v>859.68467877600017</v>
      </c>
      <c r="F78" s="428"/>
      <c r="G78" s="214"/>
      <c r="H78" s="436"/>
      <c r="I78" s="199">
        <f>H78-E78</f>
        <v>-859.68467877600017</v>
      </c>
      <c r="J78" s="206"/>
      <c r="K78" s="87"/>
      <c r="L78" s="356"/>
      <c r="M78" s="356"/>
      <c r="N78" s="356"/>
      <c r="O78" s="356"/>
      <c r="P78" s="356"/>
      <c r="Q78" s="355"/>
      <c r="R78" s="355"/>
      <c r="S78" s="355"/>
    </row>
    <row r="79" spans="2:19" ht="47.25" x14ac:dyDescent="0.25">
      <c r="B79" s="194" t="s">
        <v>255</v>
      </c>
      <c r="C79" s="214"/>
      <c r="D79" s="216"/>
      <c r="E79" s="201"/>
      <c r="F79" s="428" t="s">
        <v>253</v>
      </c>
      <c r="G79" s="585" t="s">
        <v>147</v>
      </c>
      <c r="H79" s="436">
        <v>348.4896094890471</v>
      </c>
      <c r="I79" s="199">
        <f t="shared" ref="I79:I81" si="5">H79-E79</f>
        <v>348.4896094890471</v>
      </c>
      <c r="J79" s="625" t="s">
        <v>258</v>
      </c>
      <c r="K79" s="87"/>
      <c r="L79" s="356"/>
      <c r="M79" s="356"/>
      <c r="N79" s="356"/>
      <c r="O79" s="356"/>
      <c r="P79" s="356"/>
      <c r="Q79" s="355"/>
      <c r="R79" s="355"/>
      <c r="S79" s="355"/>
    </row>
    <row r="80" spans="2:19" ht="47.25" x14ac:dyDescent="0.25">
      <c r="B80" s="194" t="s">
        <v>256</v>
      </c>
      <c r="C80" s="214"/>
      <c r="D80" s="216"/>
      <c r="E80" s="228"/>
      <c r="F80" s="428" t="s">
        <v>254</v>
      </c>
      <c r="G80" s="585"/>
      <c r="H80" s="436">
        <v>409.44816255882824</v>
      </c>
      <c r="I80" s="199">
        <f t="shared" si="5"/>
        <v>409.44816255882824</v>
      </c>
      <c r="J80" s="626"/>
      <c r="K80" s="87"/>
      <c r="L80" s="356"/>
      <c r="M80" s="356"/>
      <c r="N80" s="356"/>
      <c r="O80" s="356"/>
      <c r="P80" s="356"/>
      <c r="Q80" s="355"/>
      <c r="R80" s="355"/>
      <c r="S80" s="355"/>
    </row>
    <row r="81" spans="2:19" x14ac:dyDescent="0.25">
      <c r="B81" s="379" t="s">
        <v>73</v>
      </c>
      <c r="C81" s="214"/>
      <c r="D81" s="378"/>
      <c r="E81" s="228"/>
      <c r="F81" s="535" t="s">
        <v>265</v>
      </c>
      <c r="G81" s="585"/>
      <c r="H81" s="436">
        <v>18.782959999999999</v>
      </c>
      <c r="I81" s="231">
        <f t="shared" si="5"/>
        <v>18.782959999999999</v>
      </c>
      <c r="J81" s="534"/>
      <c r="K81" s="87"/>
      <c r="L81" s="356"/>
      <c r="M81" s="356"/>
      <c r="N81" s="356"/>
      <c r="O81" s="356"/>
      <c r="P81" s="356"/>
      <c r="Q81" s="355"/>
      <c r="R81" s="355"/>
      <c r="S81" s="355"/>
    </row>
    <row r="82" spans="2:19" ht="15.75" customHeight="1" x14ac:dyDescent="0.25">
      <c r="B82" s="379"/>
      <c r="C82" s="227" t="s">
        <v>24</v>
      </c>
      <c r="D82" s="222"/>
      <c r="E82" s="208">
        <f>SUM(E78:E80)</f>
        <v>859.68467877600017</v>
      </c>
      <c r="F82" s="214"/>
      <c r="G82" s="224"/>
      <c r="H82" s="208">
        <f>SUM(H78:H80)</f>
        <v>757.93777204787534</v>
      </c>
      <c r="I82" s="211">
        <f>H82-E82</f>
        <v>-101.74690672812483</v>
      </c>
      <c r="J82" s="435"/>
      <c r="K82" s="87"/>
      <c r="L82" s="356"/>
      <c r="M82" s="356"/>
      <c r="N82" s="356"/>
      <c r="O82" s="356"/>
      <c r="P82" s="356"/>
      <c r="Q82" s="355"/>
      <c r="R82" s="355"/>
      <c r="S82" s="355"/>
    </row>
    <row r="83" spans="2:19" ht="15.75" customHeight="1" x14ac:dyDescent="0.25">
      <c r="B83" s="196" t="s">
        <v>46</v>
      </c>
      <c r="C83" s="605" t="s">
        <v>19</v>
      </c>
      <c r="D83" s="606"/>
      <c r="E83" s="606"/>
      <c r="F83" s="606"/>
      <c r="G83" s="606"/>
      <c r="H83" s="606"/>
      <c r="I83" s="606"/>
      <c r="J83" s="607"/>
      <c r="K83" s="87"/>
      <c r="L83" s="356"/>
      <c r="M83" s="356"/>
      <c r="N83" s="356"/>
      <c r="O83" s="356"/>
      <c r="P83" s="356"/>
      <c r="Q83" s="355"/>
      <c r="R83" s="355"/>
      <c r="S83" s="355"/>
    </row>
    <row r="84" spans="2:19" ht="31.5" customHeight="1" x14ac:dyDescent="0.25">
      <c r="B84" s="197" t="s">
        <v>47</v>
      </c>
      <c r="C84" s="198" t="s">
        <v>172</v>
      </c>
      <c r="D84" s="383" t="s">
        <v>145</v>
      </c>
      <c r="E84" s="228">
        <v>752</v>
      </c>
      <c r="F84" s="200"/>
      <c r="G84" s="583" t="s">
        <v>145</v>
      </c>
      <c r="H84" s="228"/>
      <c r="I84" s="218">
        <f>H84-E84</f>
        <v>-752</v>
      </c>
      <c r="J84" s="202" t="s">
        <v>207</v>
      </c>
      <c r="K84" s="87"/>
      <c r="L84" s="350"/>
      <c r="M84" s="350"/>
      <c r="N84" s="350"/>
      <c r="O84" s="350"/>
      <c r="P84" s="350"/>
      <c r="Q84" s="355"/>
      <c r="R84" s="355"/>
      <c r="S84" s="355"/>
    </row>
    <row r="85" spans="2:19" ht="59.25" customHeight="1" x14ac:dyDescent="0.25">
      <c r="B85" s="197" t="s">
        <v>74</v>
      </c>
      <c r="C85" s="198"/>
      <c r="D85" s="225"/>
      <c r="E85" s="228"/>
      <c r="F85" s="212" t="s">
        <v>187</v>
      </c>
      <c r="G85" s="584"/>
      <c r="H85" s="228">
        <v>513.58299999999997</v>
      </c>
      <c r="I85" s="218">
        <f>H85-E85</f>
        <v>513.58299999999997</v>
      </c>
      <c r="J85" s="202" t="s">
        <v>185</v>
      </c>
      <c r="K85" s="87"/>
      <c r="L85" s="350"/>
      <c r="M85" s="350"/>
      <c r="N85" s="350"/>
      <c r="O85" s="350"/>
      <c r="P85" s="350"/>
      <c r="Q85" s="349"/>
      <c r="R85" s="350"/>
      <c r="S85" s="355"/>
    </row>
    <row r="86" spans="2:19" s="78" customFormat="1" ht="15.75" customHeight="1" x14ac:dyDescent="0.25">
      <c r="B86" s="196"/>
      <c r="C86" s="207" t="s">
        <v>24</v>
      </c>
      <c r="D86" s="225"/>
      <c r="E86" s="208">
        <f>SUM(E84:E85)</f>
        <v>752</v>
      </c>
      <c r="F86" s="209"/>
      <c r="G86" s="225"/>
      <c r="H86" s="208">
        <f>SUM(H84:H85)</f>
        <v>513.58299999999997</v>
      </c>
      <c r="I86" s="210">
        <f>H86-E86</f>
        <v>-238.41700000000003</v>
      </c>
      <c r="J86" s="211"/>
      <c r="K86" s="87"/>
      <c r="L86" s="359"/>
      <c r="M86" s="359"/>
      <c r="N86" s="359"/>
      <c r="O86" s="359"/>
      <c r="P86" s="359"/>
      <c r="Q86" s="357"/>
      <c r="R86" s="357"/>
      <c r="S86" s="357"/>
    </row>
    <row r="87" spans="2:19" s="78" customFormat="1" ht="31.5" x14ac:dyDescent="0.25">
      <c r="B87" s="382" t="s">
        <v>47</v>
      </c>
      <c r="C87" s="200" t="s">
        <v>279</v>
      </c>
      <c r="D87" s="383" t="s">
        <v>146</v>
      </c>
      <c r="E87" s="228">
        <v>766.81439999999998</v>
      </c>
      <c r="F87" s="209"/>
      <c r="G87" s="224"/>
      <c r="H87" s="537"/>
      <c r="I87" s="218">
        <f>H87-E87</f>
        <v>-766.81439999999998</v>
      </c>
      <c r="J87" s="430"/>
      <c r="K87" s="87"/>
      <c r="L87" s="359"/>
      <c r="M87" s="359"/>
      <c r="N87" s="359"/>
      <c r="O87" s="359"/>
      <c r="P87" s="359"/>
      <c r="Q87" s="357"/>
      <c r="R87" s="357"/>
      <c r="S87" s="357"/>
    </row>
    <row r="88" spans="2:19" ht="31.5" x14ac:dyDescent="0.25">
      <c r="B88" s="214" t="s">
        <v>74</v>
      </c>
      <c r="C88" s="552"/>
      <c r="D88" s="583"/>
      <c r="E88" s="598"/>
      <c r="F88" s="214" t="s">
        <v>225</v>
      </c>
      <c r="G88" s="583" t="s">
        <v>146</v>
      </c>
      <c r="H88" s="230">
        <v>845.35</v>
      </c>
      <c r="I88" s="218">
        <f>H88-E88</f>
        <v>845.35</v>
      </c>
      <c r="J88" s="377"/>
      <c r="K88" s="87"/>
      <c r="L88" s="350"/>
      <c r="M88" s="352"/>
      <c r="N88" s="350"/>
      <c r="O88" s="352"/>
      <c r="P88" s="350"/>
      <c r="Q88" s="351"/>
      <c r="R88" s="352"/>
      <c r="S88" s="355"/>
    </row>
    <row r="89" spans="2:19" ht="31.5" x14ac:dyDescent="0.25">
      <c r="B89" s="214" t="s">
        <v>75</v>
      </c>
      <c r="C89" s="553"/>
      <c r="D89" s="601"/>
      <c r="E89" s="599"/>
      <c r="F89" s="214" t="s">
        <v>226</v>
      </c>
      <c r="G89" s="601"/>
      <c r="H89" s="230">
        <v>219.87</v>
      </c>
      <c r="I89" s="218">
        <f t="shared" ref="I89:I91" si="6">H89-E89</f>
        <v>219.87</v>
      </c>
      <c r="J89" s="377"/>
      <c r="K89" s="87"/>
      <c r="L89" s="350"/>
      <c r="M89" s="352"/>
      <c r="N89" s="350"/>
      <c r="O89" s="352"/>
      <c r="P89" s="350"/>
      <c r="Q89" s="351"/>
      <c r="R89" s="352"/>
      <c r="S89" s="355"/>
    </row>
    <row r="90" spans="2:19" ht="31.5" x14ac:dyDescent="0.25">
      <c r="B90" s="214" t="s">
        <v>280</v>
      </c>
      <c r="C90" s="553"/>
      <c r="D90" s="601"/>
      <c r="E90" s="599"/>
      <c r="F90" s="214" t="s">
        <v>227</v>
      </c>
      <c r="G90" s="601"/>
      <c r="H90" s="230">
        <v>119.73</v>
      </c>
      <c r="I90" s="218">
        <f t="shared" si="6"/>
        <v>119.73</v>
      </c>
      <c r="J90" s="377"/>
      <c r="K90" s="87"/>
      <c r="L90" s="350"/>
      <c r="M90" s="352"/>
      <c r="N90" s="358"/>
      <c r="O90" s="358"/>
      <c r="P90" s="350"/>
      <c r="Q90" s="351"/>
      <c r="R90" s="358"/>
      <c r="S90" s="355"/>
    </row>
    <row r="91" spans="2:19" ht="31.5" x14ac:dyDescent="0.25">
      <c r="B91" s="214" t="s">
        <v>281</v>
      </c>
      <c r="C91" s="554"/>
      <c r="D91" s="584"/>
      <c r="E91" s="600"/>
      <c r="F91" s="214" t="s">
        <v>228</v>
      </c>
      <c r="G91" s="584"/>
      <c r="H91" s="199">
        <v>181.05</v>
      </c>
      <c r="I91" s="218">
        <f t="shared" si="6"/>
        <v>181.05</v>
      </c>
      <c r="J91" s="206"/>
      <c r="K91" s="87"/>
      <c r="L91" s="350"/>
      <c r="M91" s="352"/>
      <c r="N91" s="358"/>
      <c r="O91" s="358"/>
      <c r="P91" s="350"/>
      <c r="Q91" s="351"/>
      <c r="R91" s="358"/>
      <c r="S91" s="355"/>
    </row>
    <row r="92" spans="2:19" x14ac:dyDescent="0.25">
      <c r="B92" s="194"/>
      <c r="C92" s="207" t="s">
        <v>24</v>
      </c>
      <c r="D92" s="216"/>
      <c r="E92" s="211">
        <f>SUM(E87:E91)</f>
        <v>766.81439999999998</v>
      </c>
      <c r="F92" s="200"/>
      <c r="G92" s="214"/>
      <c r="H92" s="213">
        <f>SUM(H88:H91)</f>
        <v>1366</v>
      </c>
      <c r="I92" s="208">
        <f>SUM(I87:I91)</f>
        <v>599.18560000000002</v>
      </c>
      <c r="J92" s="206"/>
      <c r="K92" s="87"/>
      <c r="L92" s="354"/>
      <c r="M92" s="354"/>
      <c r="N92" s="354"/>
      <c r="O92" s="354"/>
      <c r="P92" s="354"/>
      <c r="Q92" s="355"/>
      <c r="R92" s="355"/>
      <c r="S92" s="355"/>
    </row>
    <row r="93" spans="2:19" ht="15.75" customHeight="1" x14ac:dyDescent="0.25">
      <c r="B93" s="194" t="s">
        <v>47</v>
      </c>
      <c r="C93" s="437" t="s">
        <v>158</v>
      </c>
      <c r="D93" s="216" t="s">
        <v>147</v>
      </c>
      <c r="E93" s="228">
        <v>786.47552121599995</v>
      </c>
      <c r="F93" s="214"/>
      <c r="G93" s="214"/>
      <c r="H93" s="228"/>
      <c r="I93" s="228">
        <f>H93-E93</f>
        <v>-786.47552121599995</v>
      </c>
      <c r="J93" s="229"/>
      <c r="K93" s="87"/>
      <c r="L93" s="360"/>
      <c r="M93" s="360"/>
      <c r="N93" s="360"/>
      <c r="O93" s="360"/>
      <c r="P93" s="360"/>
      <c r="Q93" s="355"/>
      <c r="R93" s="355"/>
      <c r="S93" s="355"/>
    </row>
    <row r="94" spans="2:19" ht="126" x14ac:dyDescent="0.25">
      <c r="B94" s="194" t="s">
        <v>74</v>
      </c>
      <c r="C94" s="214"/>
      <c r="D94" s="216"/>
      <c r="E94" s="228"/>
      <c r="F94" s="428" t="s">
        <v>246</v>
      </c>
      <c r="G94" s="379" t="s">
        <v>147</v>
      </c>
      <c r="H94" s="228">
        <v>600</v>
      </c>
      <c r="I94" s="206">
        <f>H94-E94</f>
        <v>600</v>
      </c>
      <c r="J94" s="438" t="s">
        <v>257</v>
      </c>
      <c r="K94" s="87"/>
      <c r="L94" s="360"/>
      <c r="M94" s="360"/>
      <c r="N94" s="360"/>
      <c r="O94" s="360"/>
      <c r="P94" s="360"/>
      <c r="Q94" s="355"/>
      <c r="R94" s="355"/>
      <c r="S94" s="355"/>
    </row>
    <row r="95" spans="2:19" ht="15.75" hidden="1" customHeight="1" x14ac:dyDescent="0.25">
      <c r="B95" s="194" t="s">
        <v>75</v>
      </c>
      <c r="C95" s="214"/>
      <c r="D95" s="216"/>
      <c r="E95" s="201"/>
      <c r="F95" s="214"/>
      <c r="G95" s="216"/>
      <c r="H95" s="201"/>
      <c r="I95" s="201"/>
      <c r="J95" s="206"/>
      <c r="K95" s="87"/>
      <c r="L95" s="360"/>
      <c r="M95" s="360"/>
      <c r="N95" s="360"/>
      <c r="O95" s="360"/>
      <c r="P95" s="360"/>
      <c r="Q95" s="355"/>
      <c r="R95" s="355"/>
      <c r="S95" s="355"/>
    </row>
    <row r="96" spans="2:19" ht="15.75" customHeight="1" x14ac:dyDescent="0.25">
      <c r="B96" s="379"/>
      <c r="C96" s="207" t="s">
        <v>24</v>
      </c>
      <c r="D96" s="378"/>
      <c r="E96" s="211">
        <f>SUM(E93:E94)</f>
        <v>786.47552121599995</v>
      </c>
      <c r="F96" s="200"/>
      <c r="G96" s="214"/>
      <c r="H96" s="211">
        <f>SUM(H93:H94)</f>
        <v>600</v>
      </c>
      <c r="I96" s="210">
        <f>H96-E96</f>
        <v>-186.47552121599995</v>
      </c>
      <c r="J96" s="232"/>
      <c r="K96" s="87"/>
      <c r="L96" s="360"/>
      <c r="M96" s="360"/>
      <c r="N96" s="360"/>
      <c r="O96" s="365"/>
      <c r="P96" s="360"/>
      <c r="Q96" s="355"/>
      <c r="R96" s="355"/>
      <c r="S96" s="355"/>
    </row>
    <row r="97" spans="2:19" ht="15" customHeight="1" x14ac:dyDescent="0.25">
      <c r="B97" s="233"/>
      <c r="C97" s="234"/>
      <c r="D97" s="235"/>
      <c r="E97" s="236"/>
      <c r="F97" s="237"/>
      <c r="G97" s="237"/>
      <c r="H97" s="236"/>
      <c r="I97" s="236"/>
      <c r="J97" s="238"/>
      <c r="K97" s="87"/>
      <c r="L97" s="360"/>
      <c r="M97" s="360"/>
      <c r="N97" s="360"/>
      <c r="O97" s="360"/>
      <c r="P97" s="360"/>
      <c r="Q97" s="355"/>
      <c r="R97" s="355"/>
      <c r="S97" s="355"/>
    </row>
    <row r="98" spans="2:19" ht="16.5" customHeight="1" x14ac:dyDescent="0.25">
      <c r="B98" s="597" t="s">
        <v>173</v>
      </c>
      <c r="C98" s="597"/>
      <c r="D98" s="597"/>
      <c r="E98" s="597"/>
      <c r="F98" s="237"/>
      <c r="G98" s="237"/>
      <c r="H98" s="239"/>
      <c r="I98" s="237"/>
      <c r="J98" s="238"/>
      <c r="L98" s="360"/>
      <c r="M98" s="360"/>
      <c r="N98" s="360"/>
      <c r="O98" s="360"/>
      <c r="P98" s="360"/>
      <c r="Q98" s="355"/>
      <c r="R98" s="355"/>
      <c r="S98" s="355"/>
    </row>
    <row r="99" spans="2:19" ht="16.5" customHeight="1" x14ac:dyDescent="0.25">
      <c r="B99" s="583" t="s">
        <v>21</v>
      </c>
      <c r="C99" s="589" t="s">
        <v>177</v>
      </c>
      <c r="D99" s="590"/>
      <c r="E99" s="590"/>
      <c r="F99" s="589" t="s">
        <v>137</v>
      </c>
      <c r="G99" s="590"/>
      <c r="H99" s="596"/>
      <c r="I99" s="585" t="s">
        <v>178</v>
      </c>
      <c r="J99" s="586" t="s">
        <v>179</v>
      </c>
      <c r="L99" s="360"/>
      <c r="M99" s="360"/>
      <c r="N99" s="360"/>
      <c r="O99" s="360"/>
      <c r="P99" s="360"/>
      <c r="Q99" s="355"/>
      <c r="R99" s="355"/>
      <c r="S99" s="355"/>
    </row>
    <row r="100" spans="2:19" ht="87.75" customHeight="1" x14ac:dyDescent="0.25">
      <c r="B100" s="584"/>
      <c r="C100" s="240" t="s">
        <v>22</v>
      </c>
      <c r="D100" s="194" t="s">
        <v>1</v>
      </c>
      <c r="E100" s="194" t="s">
        <v>23</v>
      </c>
      <c r="F100" s="194" t="s">
        <v>22</v>
      </c>
      <c r="G100" s="194" t="s">
        <v>1</v>
      </c>
      <c r="H100" s="194" t="s">
        <v>23</v>
      </c>
      <c r="I100" s="585"/>
      <c r="J100" s="587"/>
      <c r="L100" s="360"/>
      <c r="M100" s="360"/>
      <c r="N100" s="360"/>
      <c r="O100" s="360"/>
      <c r="P100" s="360"/>
      <c r="Q100" s="355"/>
      <c r="R100" s="355"/>
      <c r="S100" s="355"/>
    </row>
    <row r="101" spans="2:19" x14ac:dyDescent="0.25">
      <c r="B101" s="194">
        <v>1</v>
      </c>
      <c r="C101" s="194">
        <v>2</v>
      </c>
      <c r="D101" s="194">
        <v>3</v>
      </c>
      <c r="E101" s="195">
        <v>4</v>
      </c>
      <c r="F101" s="194">
        <v>5</v>
      </c>
      <c r="G101" s="194">
        <v>6</v>
      </c>
      <c r="H101" s="194">
        <v>7</v>
      </c>
      <c r="I101" s="194">
        <v>8</v>
      </c>
      <c r="J101" s="194">
        <v>9</v>
      </c>
    </row>
    <row r="102" spans="2:19" x14ac:dyDescent="0.25">
      <c r="B102" s="241" t="s">
        <v>6</v>
      </c>
      <c r="C102" s="242"/>
      <c r="D102" s="241"/>
      <c r="E102" s="195"/>
      <c r="F102" s="243"/>
      <c r="G102" s="243"/>
      <c r="H102" s="243"/>
      <c r="I102" s="243"/>
      <c r="J102" s="243"/>
    </row>
    <row r="103" spans="2:19" x14ac:dyDescent="0.25">
      <c r="B103" s="594" t="s">
        <v>24</v>
      </c>
      <c r="C103" s="595"/>
      <c r="D103" s="595"/>
      <c r="E103" s="595"/>
      <c r="F103" s="243"/>
      <c r="G103" s="243"/>
      <c r="H103" s="243"/>
      <c r="I103" s="243"/>
      <c r="J103" s="243"/>
    </row>
    <row r="104" spans="2:19" ht="33.75" customHeight="1" x14ac:dyDescent="0.25">
      <c r="B104" s="588" t="s">
        <v>48</v>
      </c>
      <c r="C104" s="588"/>
      <c r="D104" s="588"/>
      <c r="E104" s="588"/>
      <c r="F104" s="237"/>
      <c r="G104" s="237"/>
      <c r="H104" s="237"/>
      <c r="I104" s="237"/>
      <c r="J104" s="238"/>
    </row>
    <row r="105" spans="2:19" x14ac:dyDescent="0.25">
      <c r="B105" s="244"/>
      <c r="C105" s="244"/>
      <c r="D105" s="244"/>
      <c r="E105" s="244"/>
      <c r="F105" s="237"/>
      <c r="G105" s="237"/>
      <c r="H105" s="237"/>
      <c r="I105" s="237"/>
      <c r="J105" s="238"/>
    </row>
    <row r="106" spans="2:19" ht="22.5" customHeight="1" x14ac:dyDescent="0.25">
      <c r="B106" s="591" t="s">
        <v>174</v>
      </c>
      <c r="C106" s="591"/>
      <c r="D106" s="591"/>
      <c r="E106" s="591"/>
      <c r="F106" s="591"/>
      <c r="G106" s="591"/>
      <c r="H106" s="591"/>
      <c r="I106" s="591"/>
      <c r="J106" s="592"/>
    </row>
    <row r="107" spans="2:19" ht="18.75" customHeight="1" x14ac:dyDescent="0.25">
      <c r="B107" s="583" t="s">
        <v>21</v>
      </c>
      <c r="C107" s="589" t="s">
        <v>177</v>
      </c>
      <c r="D107" s="590"/>
      <c r="E107" s="590"/>
      <c r="F107" s="589" t="s">
        <v>137</v>
      </c>
      <c r="G107" s="590"/>
      <c r="H107" s="596"/>
      <c r="I107" s="585" t="s">
        <v>178</v>
      </c>
      <c r="J107" s="586" t="s">
        <v>179</v>
      </c>
    </row>
    <row r="108" spans="2:19" ht="85.5" customHeight="1" x14ac:dyDescent="0.25">
      <c r="B108" s="584"/>
      <c r="C108" s="240" t="s">
        <v>22</v>
      </c>
      <c r="D108" s="194" t="s">
        <v>1</v>
      </c>
      <c r="E108" s="194" t="s">
        <v>23</v>
      </c>
      <c r="F108" s="194" t="s">
        <v>22</v>
      </c>
      <c r="G108" s="194" t="s">
        <v>1</v>
      </c>
      <c r="H108" s="194" t="s">
        <v>23</v>
      </c>
      <c r="I108" s="585"/>
      <c r="J108" s="587"/>
    </row>
    <row r="109" spans="2:19" x14ac:dyDescent="0.25">
      <c r="B109" s="194">
        <v>1</v>
      </c>
      <c r="C109" s="194">
        <v>2</v>
      </c>
      <c r="D109" s="194">
        <v>3</v>
      </c>
      <c r="E109" s="195">
        <v>4</v>
      </c>
      <c r="F109" s="194">
        <v>5</v>
      </c>
      <c r="G109" s="194">
        <v>6</v>
      </c>
      <c r="H109" s="194">
        <v>7</v>
      </c>
      <c r="I109" s="194">
        <v>8</v>
      </c>
      <c r="J109" s="194">
        <v>9</v>
      </c>
    </row>
    <row r="110" spans="2:19" x14ac:dyDescent="0.25">
      <c r="B110" s="241" t="s">
        <v>6</v>
      </c>
      <c r="C110" s="242"/>
      <c r="D110" s="241"/>
      <c r="E110" s="195"/>
      <c r="F110" s="243"/>
      <c r="G110" s="243"/>
      <c r="H110" s="243"/>
      <c r="I110" s="243"/>
      <c r="J110" s="243"/>
    </row>
    <row r="111" spans="2:19" x14ac:dyDescent="0.25">
      <c r="B111" s="594" t="s">
        <v>24</v>
      </c>
      <c r="C111" s="595"/>
      <c r="D111" s="595"/>
      <c r="E111" s="595"/>
      <c r="F111" s="243"/>
      <c r="G111" s="243"/>
      <c r="H111" s="243"/>
      <c r="I111" s="243"/>
      <c r="J111" s="243"/>
    </row>
    <row r="112" spans="2:19" ht="34.5" customHeight="1" x14ac:dyDescent="0.25">
      <c r="B112" s="593" t="s">
        <v>50</v>
      </c>
      <c r="C112" s="593"/>
      <c r="D112" s="593"/>
      <c r="E112" s="593"/>
    </row>
    <row r="113" spans="2:5" ht="15" customHeight="1" x14ac:dyDescent="0.25">
      <c r="B113" s="43"/>
      <c r="C113" s="44"/>
      <c r="D113" s="45"/>
      <c r="E113" s="45"/>
    </row>
  </sheetData>
  <mergeCells count="71">
    <mergeCell ref="G84:G85"/>
    <mergeCell ref="J79:J80"/>
    <mergeCell ref="G37:G38"/>
    <mergeCell ref="G52:G54"/>
    <mergeCell ref="C72:J72"/>
    <mergeCell ref="I66:I67"/>
    <mergeCell ref="J66:J67"/>
    <mergeCell ref="C44:J44"/>
    <mergeCell ref="G58:G63"/>
    <mergeCell ref="C57:J57"/>
    <mergeCell ref="J58:J61"/>
    <mergeCell ref="D58:D62"/>
    <mergeCell ref="C83:J83"/>
    <mergeCell ref="B66:B67"/>
    <mergeCell ref="C66:C67"/>
    <mergeCell ref="E66:E67"/>
    <mergeCell ref="G66:G67"/>
    <mergeCell ref="D64:D67"/>
    <mergeCell ref="R3:R4"/>
    <mergeCell ref="I18:I19"/>
    <mergeCell ref="L3:N3"/>
    <mergeCell ref="O3:O4"/>
    <mergeCell ref="P3:P4"/>
    <mergeCell ref="Q3:Q4"/>
    <mergeCell ref="J18:J19"/>
    <mergeCell ref="C6:J6"/>
    <mergeCell ref="G30:G31"/>
    <mergeCell ref="D30:D31"/>
    <mergeCell ref="C29:J29"/>
    <mergeCell ref="G7:G13"/>
    <mergeCell ref="G18:G19"/>
    <mergeCell ref="C21:C23"/>
    <mergeCell ref="D21:D23"/>
    <mergeCell ref="E21:E23"/>
    <mergeCell ref="G21:G23"/>
    <mergeCell ref="I21:I23"/>
    <mergeCell ref="J21:J23"/>
    <mergeCell ref="D7:D12"/>
    <mergeCell ref="D14:D17"/>
    <mergeCell ref="B1:J1"/>
    <mergeCell ref="B2:J2"/>
    <mergeCell ref="B3:B4"/>
    <mergeCell ref="C3:E3"/>
    <mergeCell ref="F3:H3"/>
    <mergeCell ref="I3:I4"/>
    <mergeCell ref="J3:J4"/>
    <mergeCell ref="J99:J100"/>
    <mergeCell ref="B99:B100"/>
    <mergeCell ref="B98:E98"/>
    <mergeCell ref="I99:I100"/>
    <mergeCell ref="E88:E91"/>
    <mergeCell ref="G88:G91"/>
    <mergeCell ref="F99:H99"/>
    <mergeCell ref="D88:D91"/>
    <mergeCell ref="B112:E112"/>
    <mergeCell ref="B111:E111"/>
    <mergeCell ref="F107:H107"/>
    <mergeCell ref="C99:E99"/>
    <mergeCell ref="B103:E103"/>
    <mergeCell ref="J107:J108"/>
    <mergeCell ref="B104:E104"/>
    <mergeCell ref="B107:B108"/>
    <mergeCell ref="C107:E107"/>
    <mergeCell ref="B106:J106"/>
    <mergeCell ref="I107:I108"/>
    <mergeCell ref="D75:D76"/>
    <mergeCell ref="G79:G81"/>
    <mergeCell ref="D33:D34"/>
    <mergeCell ref="G33:G34"/>
    <mergeCell ref="D45:D46"/>
    <mergeCell ref="D48:D49"/>
  </mergeCells>
  <phoneticPr fontId="3" type="noConversion"/>
  <printOptions horizontalCentered="1"/>
  <pageMargins left="0.39370078740157483" right="0.39370078740157483" top="0.94488188976377963" bottom="0.39370078740157483" header="0" footer="0"/>
  <pageSetup paperSize="9" scale="59" fitToHeight="3" orientation="landscape" r:id="rId1"/>
  <headerFooter alignWithMargins="0"/>
  <rowBreaks count="1" manualBreakCount="1">
    <brk id="6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12"/>
  <sheetViews>
    <sheetView topLeftCell="B1" workbookViewId="0">
      <selection activeCell="J14" sqref="J14"/>
    </sheetView>
  </sheetViews>
  <sheetFormatPr defaultColWidth="9.140625" defaultRowHeight="15.75" x14ac:dyDescent="0.25"/>
  <cols>
    <col min="1" max="1" width="3.7109375" style="42" hidden="1" customWidth="1"/>
    <col min="2" max="2" width="6" style="42" customWidth="1"/>
    <col min="3" max="3" width="22.140625" style="42" customWidth="1"/>
    <col min="4" max="4" width="15.28515625" style="42" customWidth="1"/>
    <col min="5" max="5" width="14.42578125" style="42" customWidth="1"/>
    <col min="6" max="7" width="12" style="42" customWidth="1"/>
    <col min="8" max="9" width="12" style="42" hidden="1" customWidth="1"/>
    <col min="10" max="10" width="21.5703125" style="42" customWidth="1"/>
    <col min="11" max="11" width="13.28515625" style="42" customWidth="1"/>
    <col min="12" max="12" width="11.42578125" style="42" customWidth="1"/>
    <col min="13" max="13" width="13.7109375" style="42" customWidth="1"/>
    <col min="14" max="14" width="10.5703125" style="42" customWidth="1"/>
    <col min="15" max="16" width="9.140625" style="42" hidden="1" customWidth="1"/>
    <col min="17" max="16384" width="9.140625" style="42"/>
  </cols>
  <sheetData>
    <row r="1" spans="2:17" ht="33.75" customHeight="1" x14ac:dyDescent="0.25">
      <c r="B1" s="636" t="s">
        <v>175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2:17" ht="15" customHeight="1" x14ac:dyDescent="0.25">
      <c r="B2" s="629" t="s">
        <v>176</v>
      </c>
      <c r="C2" s="643" t="s">
        <v>177</v>
      </c>
      <c r="D2" s="643"/>
      <c r="E2" s="643"/>
      <c r="F2" s="643"/>
      <c r="G2" s="643"/>
      <c r="H2" s="643"/>
      <c r="I2" s="643"/>
      <c r="J2" s="646" t="s">
        <v>137</v>
      </c>
      <c r="K2" s="643"/>
      <c r="L2" s="643"/>
      <c r="M2" s="643"/>
      <c r="N2" s="643"/>
      <c r="O2" s="56"/>
      <c r="P2" s="57"/>
      <c r="Q2" s="58"/>
    </row>
    <row r="3" spans="2:17" ht="39" customHeight="1" x14ac:dyDescent="0.25">
      <c r="B3" s="630"/>
      <c r="C3" s="637" t="s">
        <v>2</v>
      </c>
      <c r="D3" s="629" t="s">
        <v>26</v>
      </c>
      <c r="E3" s="639" t="s">
        <v>27</v>
      </c>
      <c r="F3" s="640"/>
      <c r="G3" s="640"/>
      <c r="H3" s="640"/>
      <c r="I3" s="641"/>
      <c r="J3" s="627" t="s">
        <v>2</v>
      </c>
      <c r="K3" s="627" t="s">
        <v>26</v>
      </c>
      <c r="L3" s="644" t="s">
        <v>27</v>
      </c>
      <c r="M3" s="645"/>
      <c r="N3" s="645"/>
      <c r="O3" s="70"/>
      <c r="P3" s="71"/>
      <c r="Q3" s="58"/>
    </row>
    <row r="4" spans="2:17" ht="21" customHeight="1" x14ac:dyDescent="0.25">
      <c r="B4" s="631"/>
      <c r="C4" s="638"/>
      <c r="D4" s="631"/>
      <c r="E4" s="13" t="s">
        <v>145</v>
      </c>
      <c r="F4" s="13" t="s">
        <v>146</v>
      </c>
      <c r="G4" s="13" t="s">
        <v>147</v>
      </c>
      <c r="H4" s="13" t="s">
        <v>148</v>
      </c>
      <c r="I4" s="13" t="s">
        <v>150</v>
      </c>
      <c r="J4" s="642"/>
      <c r="K4" s="642"/>
      <c r="L4" s="47" t="s">
        <v>145</v>
      </c>
      <c r="M4" s="47" t="s">
        <v>146</v>
      </c>
      <c r="N4" s="47" t="s">
        <v>147</v>
      </c>
      <c r="O4" s="47" t="s">
        <v>148</v>
      </c>
      <c r="P4" s="47" t="s">
        <v>150</v>
      </c>
      <c r="Q4" s="58"/>
    </row>
    <row r="5" spans="2:17" x14ac:dyDescent="0.25">
      <c r="B5" s="13">
        <v>1</v>
      </c>
      <c r="C5" s="13">
        <v>2</v>
      </c>
      <c r="D5" s="13">
        <v>3</v>
      </c>
      <c r="E5" s="13">
        <v>4</v>
      </c>
      <c r="F5" s="13">
        <v>4</v>
      </c>
      <c r="G5" s="13">
        <v>6</v>
      </c>
      <c r="H5" s="13">
        <v>7</v>
      </c>
      <c r="I5" s="13">
        <v>8</v>
      </c>
      <c r="J5" s="46">
        <v>5</v>
      </c>
      <c r="K5" s="46">
        <v>6</v>
      </c>
      <c r="L5" s="46">
        <v>7</v>
      </c>
      <c r="M5" s="46">
        <v>7</v>
      </c>
      <c r="N5" s="46">
        <v>13</v>
      </c>
      <c r="O5" s="46">
        <v>14</v>
      </c>
      <c r="P5" s="46">
        <f>O5+1</f>
        <v>15</v>
      </c>
      <c r="Q5" s="58"/>
    </row>
    <row r="6" spans="2:17" x14ac:dyDescent="0.25">
      <c r="B6" s="48" t="s">
        <v>6</v>
      </c>
      <c r="C6" s="49" t="s">
        <v>15</v>
      </c>
      <c r="D6" s="50" t="s">
        <v>3</v>
      </c>
      <c r="E6" s="66">
        <v>30161.813225332826</v>
      </c>
      <c r="F6" s="80">
        <v>100017.5</v>
      </c>
      <c r="G6" s="51">
        <v>97457.7</v>
      </c>
      <c r="H6" s="51"/>
      <c r="I6" s="51"/>
      <c r="J6" s="49" t="s">
        <v>15</v>
      </c>
      <c r="K6" s="50" t="s">
        <v>3</v>
      </c>
      <c r="L6" s="66">
        <v>32523.782009999999</v>
      </c>
      <c r="M6" s="66">
        <v>92989.296999999991</v>
      </c>
      <c r="N6" s="51">
        <f>[5]Билиб!$I$112+[5]Билиб!$I$123</f>
        <v>98763.405234999998</v>
      </c>
      <c r="O6" s="51"/>
      <c r="P6" s="51"/>
      <c r="Q6" s="58"/>
    </row>
    <row r="7" spans="2:17" x14ac:dyDescent="0.25">
      <c r="B7" s="48" t="s">
        <v>12</v>
      </c>
      <c r="C7" s="49" t="s">
        <v>5</v>
      </c>
      <c r="D7" s="50" t="s">
        <v>3</v>
      </c>
      <c r="E7" s="66">
        <v>16320.212555882057</v>
      </c>
      <c r="F7" s="80">
        <v>19870</v>
      </c>
      <c r="G7" s="51">
        <v>19522.900000000001</v>
      </c>
      <c r="H7" s="51"/>
      <c r="I7" s="51"/>
      <c r="J7" s="49" t="s">
        <v>5</v>
      </c>
      <c r="K7" s="50" t="s">
        <v>3</v>
      </c>
      <c r="L7" s="66">
        <v>15686.73756</v>
      </c>
      <c r="M7" s="66">
        <v>17659.76283</v>
      </c>
      <c r="N7" s="51">
        <f>[5]Анюй!$I$112+[5]Анюй!$I$123</f>
        <v>16898.643690000001</v>
      </c>
      <c r="O7" s="51"/>
      <c r="P7" s="51"/>
      <c r="Q7" s="58"/>
    </row>
    <row r="8" spans="2:17" x14ac:dyDescent="0.25">
      <c r="B8" s="48" t="s">
        <v>20</v>
      </c>
      <c r="C8" s="49" t="s">
        <v>16</v>
      </c>
      <c r="D8" s="50" t="s">
        <v>3</v>
      </c>
      <c r="E8" s="66">
        <v>8497.9793114494732</v>
      </c>
      <c r="F8" s="80">
        <v>17615.900000000001</v>
      </c>
      <c r="G8" s="51">
        <v>16596.099999999999</v>
      </c>
      <c r="H8" s="51"/>
      <c r="I8" s="51"/>
      <c r="J8" s="49" t="s">
        <v>16</v>
      </c>
      <c r="K8" s="50" t="s">
        <v>3</v>
      </c>
      <c r="L8" s="66">
        <v>8837.3310099999999</v>
      </c>
      <c r="M8" s="66">
        <v>12877.30343</v>
      </c>
      <c r="N8" s="51">
        <f>[5]Илир!$I$112+[5]Илир!$I$118+[5]Илир!$I$123</f>
        <v>12192.750160000001</v>
      </c>
      <c r="O8" s="51"/>
      <c r="P8" s="51"/>
      <c r="Q8" s="58"/>
    </row>
    <row r="9" spans="2:17" x14ac:dyDescent="0.25">
      <c r="B9" s="48" t="s">
        <v>42</v>
      </c>
      <c r="C9" s="49" t="s">
        <v>17</v>
      </c>
      <c r="D9" s="50" t="s">
        <v>3</v>
      </c>
      <c r="E9" s="66">
        <v>7456.8189964375588</v>
      </c>
      <c r="F9" s="80">
        <v>15780.9</v>
      </c>
      <c r="G9" s="51">
        <v>13387.6</v>
      </c>
      <c r="H9" s="51"/>
      <c r="I9" s="51"/>
      <c r="J9" s="49" t="s">
        <v>17</v>
      </c>
      <c r="K9" s="50" t="s">
        <v>3</v>
      </c>
      <c r="L9" s="66">
        <v>7353.0809100000006</v>
      </c>
      <c r="M9" s="66">
        <v>9787.43</v>
      </c>
      <c r="N9" s="51">
        <f>[5]Кепер!$I$112+[5]Кепер!$I$118+[5]Кепер!$I$123</f>
        <v>8017.4609805999989</v>
      </c>
      <c r="O9" s="51"/>
      <c r="P9" s="51"/>
      <c r="Q9" s="58"/>
    </row>
    <row r="10" spans="2:17" x14ac:dyDescent="0.25">
      <c r="B10" s="48" t="s">
        <v>44</v>
      </c>
      <c r="C10" s="49" t="s">
        <v>18</v>
      </c>
      <c r="D10" s="50" t="s">
        <v>3</v>
      </c>
      <c r="E10" s="66">
        <v>9953.1699335939593</v>
      </c>
      <c r="F10" s="80">
        <v>24431.5</v>
      </c>
      <c r="G10" s="51">
        <v>24663.8</v>
      </c>
      <c r="H10" s="51"/>
      <c r="I10" s="51"/>
      <c r="J10" s="49" t="s">
        <v>18</v>
      </c>
      <c r="K10" s="50" t="s">
        <v>3</v>
      </c>
      <c r="L10" s="66">
        <v>8765.9840199999999</v>
      </c>
      <c r="M10" s="66">
        <v>10678.1109</v>
      </c>
      <c r="N10" s="51">
        <f>[5]Омол!$I$112+[5]Омол!$I$118+[5]Омол!$I$123</f>
        <v>8547.7705999999998</v>
      </c>
      <c r="O10" s="51"/>
      <c r="P10" s="51"/>
      <c r="Q10" s="58"/>
    </row>
    <row r="11" spans="2:17" x14ac:dyDescent="0.25">
      <c r="B11" s="52" t="s">
        <v>46</v>
      </c>
      <c r="C11" s="53" t="s">
        <v>19</v>
      </c>
      <c r="D11" s="54" t="s">
        <v>3</v>
      </c>
      <c r="E11" s="67">
        <v>10724.926374713084</v>
      </c>
      <c r="F11" s="81">
        <v>10715.7</v>
      </c>
      <c r="G11" s="55">
        <v>11020.7</v>
      </c>
      <c r="H11" s="55"/>
      <c r="I11" s="55"/>
      <c r="J11" s="53" t="s">
        <v>19</v>
      </c>
      <c r="K11" s="54" t="s">
        <v>3</v>
      </c>
      <c r="L11" s="67">
        <v>10795.118399999999</v>
      </c>
      <c r="M11" s="67">
        <v>8365.3010000000013</v>
      </c>
      <c r="N11" s="55">
        <f>[5]Остров!$I$112+[5]Остров!$I$118+[5]Остров!$I$123</f>
        <v>7683.0731699999988</v>
      </c>
      <c r="O11" s="55"/>
      <c r="P11" s="55"/>
      <c r="Q11" s="58"/>
    </row>
    <row r="12" spans="2:17" x14ac:dyDescent="0.25">
      <c r="E12" s="69"/>
      <c r="L12" s="69"/>
    </row>
  </sheetData>
  <mergeCells count="10">
    <mergeCell ref="B1:M1"/>
    <mergeCell ref="B2:B4"/>
    <mergeCell ref="C3:C4"/>
    <mergeCell ref="D3:D4"/>
    <mergeCell ref="E3:I3"/>
    <mergeCell ref="J3:J4"/>
    <mergeCell ref="K3:K4"/>
    <mergeCell ref="C2:I2"/>
    <mergeCell ref="L3:N3"/>
    <mergeCell ref="J2:N2"/>
  </mergeCells>
  <phoneticPr fontId="23" type="noConversion"/>
  <printOptions horizontalCentered="1"/>
  <pageMargins left="1.1811023622047245" right="0.39370078740157483" top="0.39370078740157483" bottom="0.3937007874015748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CI27"/>
  <sheetViews>
    <sheetView zoomScale="85" zoomScaleNormal="85" zoomScaleSheetLayoutView="70" workbookViewId="0">
      <pane xSplit="3" ySplit="5" topLeftCell="BW6" activePane="bottomRight" state="frozen"/>
      <selection pane="topRight" activeCell="D1" sqref="D1"/>
      <selection pane="bottomLeft" activeCell="A6" sqref="A6"/>
      <selection pane="bottomRight" activeCell="CA23" sqref="CA23"/>
    </sheetView>
  </sheetViews>
  <sheetFormatPr defaultColWidth="9.140625" defaultRowHeight="12.75" x14ac:dyDescent="0.2"/>
  <cols>
    <col min="1" max="1" width="6.5703125" style="74" customWidth="1"/>
    <col min="2" max="2" width="66.28515625" style="74" customWidth="1"/>
    <col min="3" max="3" width="10.42578125" style="74" customWidth="1"/>
    <col min="4" max="4" width="10" style="74" customWidth="1"/>
    <col min="5" max="5" width="10" style="75" customWidth="1"/>
    <col min="6" max="6" width="13.28515625" style="74" customWidth="1"/>
    <col min="7" max="7" width="49.5703125" style="74" customWidth="1"/>
    <col min="8" max="8" width="10" style="74" customWidth="1"/>
    <col min="9" max="9" width="15.42578125" style="75" customWidth="1"/>
    <col min="10" max="10" width="16.7109375" style="74" customWidth="1"/>
    <col min="11" max="11" width="49.5703125" style="74" customWidth="1"/>
    <col min="12" max="14" width="10" style="74" customWidth="1"/>
    <col min="15" max="15" width="18.7109375" style="74" customWidth="1"/>
    <col min="16" max="17" width="10" style="74" hidden="1" customWidth="1"/>
    <col min="18" max="18" width="10" style="74" customWidth="1"/>
    <col min="19" max="19" width="10" style="75" customWidth="1"/>
    <col min="20" max="20" width="13.42578125" style="74" customWidth="1"/>
    <col min="21" max="21" width="49.5703125" style="74" customWidth="1"/>
    <col min="22" max="22" width="10" style="74" customWidth="1"/>
    <col min="23" max="23" width="14.7109375" style="75" customWidth="1"/>
    <col min="24" max="24" width="13.42578125" style="74" customWidth="1"/>
    <col min="25" max="25" width="49.5703125" style="74" customWidth="1"/>
    <col min="26" max="27" width="10" style="74" customWidth="1"/>
    <col min="28" max="28" width="12.85546875" style="74" customWidth="1"/>
    <col min="29" max="29" width="24.85546875" style="74" customWidth="1"/>
    <col min="30" max="31" width="10" style="74" hidden="1" customWidth="1"/>
    <col min="32" max="32" width="10" style="74" customWidth="1"/>
    <col min="33" max="33" width="10" style="75" customWidth="1"/>
    <col min="34" max="34" width="13.85546875" style="74" customWidth="1"/>
    <col min="35" max="35" width="27" style="74" customWidth="1"/>
    <col min="36" max="36" width="10" style="74" customWidth="1"/>
    <col min="37" max="37" width="10" style="75" customWidth="1"/>
    <col min="38" max="38" width="13.85546875" style="74" customWidth="1"/>
    <col min="39" max="39" width="34.140625" style="74" customWidth="1"/>
    <col min="40" max="41" width="10" style="74" customWidth="1"/>
    <col min="42" max="42" width="11.85546875" style="74" customWidth="1"/>
    <col min="43" max="43" width="21.7109375" style="74" customWidth="1"/>
    <col min="44" max="45" width="10" style="74" hidden="1" customWidth="1"/>
    <col min="46" max="46" width="10" style="74" customWidth="1"/>
    <col min="47" max="47" width="10" style="75" customWidth="1"/>
    <col min="48" max="48" width="14.28515625" style="74" customWidth="1"/>
    <col min="49" max="49" width="41.85546875" style="74" customWidth="1"/>
    <col min="50" max="50" width="10" style="74" customWidth="1"/>
    <col min="51" max="51" width="16" style="75" customWidth="1"/>
    <col min="52" max="52" width="14.28515625" style="74" customWidth="1"/>
    <col min="53" max="53" width="43.42578125" style="74" customWidth="1"/>
    <col min="54" max="55" width="10" style="74" customWidth="1"/>
    <col min="56" max="56" width="12.85546875" style="74" customWidth="1"/>
    <col min="57" max="57" width="19.7109375" style="74" customWidth="1"/>
    <col min="58" max="59" width="10" style="74" hidden="1" customWidth="1"/>
    <col min="60" max="60" width="10" style="74" customWidth="1"/>
    <col min="61" max="61" width="10" style="75" customWidth="1"/>
    <col min="62" max="62" width="13.85546875" style="74" customWidth="1"/>
    <col min="63" max="63" width="38.7109375" style="74" customWidth="1"/>
    <col min="64" max="64" width="10" style="74" customWidth="1"/>
    <col min="65" max="65" width="14.140625" style="75" customWidth="1"/>
    <col min="66" max="66" width="13.42578125" style="74" customWidth="1"/>
    <col min="67" max="67" width="43.140625" style="74" customWidth="1"/>
    <col min="68" max="70" width="10" style="74" customWidth="1"/>
    <col min="71" max="71" width="19.42578125" style="74" customWidth="1"/>
    <col min="72" max="72" width="10" style="74" customWidth="1"/>
    <col min="73" max="73" width="10" style="75" customWidth="1"/>
    <col min="74" max="74" width="16.140625" style="74" customWidth="1"/>
    <col min="75" max="75" width="24" style="74" customWidth="1"/>
    <col min="76" max="76" width="10" style="74" customWidth="1"/>
    <col min="77" max="77" width="13.42578125" style="75" customWidth="1"/>
    <col min="78" max="78" width="13.42578125" style="74" customWidth="1"/>
    <col min="79" max="79" width="49.5703125" style="74" customWidth="1"/>
    <col min="80" max="81" width="10" style="74" customWidth="1"/>
    <col min="82" max="82" width="12.5703125" style="74" customWidth="1"/>
    <col min="83" max="83" width="26.28515625" style="74" customWidth="1"/>
    <col min="84" max="16384" width="9.140625" style="74"/>
  </cols>
  <sheetData>
    <row r="1" spans="1:85" s="90" customFormat="1" ht="22.5" customHeight="1" x14ac:dyDescent="0.25">
      <c r="A1" s="576" t="s">
        <v>180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6"/>
      <c r="AL1" s="576"/>
      <c r="AM1" s="576"/>
      <c r="AN1" s="576"/>
      <c r="AO1" s="576"/>
      <c r="AP1" s="576"/>
      <c r="AQ1" s="576"/>
      <c r="AR1" s="576"/>
      <c r="AS1" s="576"/>
      <c r="AT1" s="576"/>
      <c r="AU1" s="576"/>
      <c r="AV1" s="576"/>
      <c r="AW1" s="576"/>
      <c r="AX1" s="576"/>
      <c r="AY1" s="576"/>
      <c r="AZ1" s="576"/>
      <c r="BA1" s="576"/>
      <c r="BB1" s="576"/>
      <c r="BC1" s="576"/>
      <c r="BD1" s="576"/>
      <c r="BE1" s="576"/>
      <c r="BF1" s="576"/>
      <c r="BG1" s="576"/>
      <c r="BH1" s="576"/>
      <c r="BI1" s="576"/>
      <c r="BJ1" s="576"/>
      <c r="BK1" s="576"/>
      <c r="BL1" s="576"/>
      <c r="BM1" s="576"/>
      <c r="BN1" s="576"/>
      <c r="BO1" s="576"/>
      <c r="BP1" s="576"/>
      <c r="BQ1" s="576"/>
      <c r="BR1" s="576"/>
      <c r="BS1" s="576"/>
      <c r="BT1" s="576"/>
      <c r="BU1" s="576"/>
      <c r="BV1" s="576"/>
      <c r="BW1" s="576"/>
      <c r="BX1" s="576"/>
      <c r="BY1" s="576"/>
      <c r="BZ1" s="576"/>
      <c r="CA1" s="576"/>
      <c r="CB1" s="576"/>
      <c r="CC1" s="576"/>
      <c r="CD1" s="576"/>
      <c r="CE1" s="576"/>
    </row>
    <row r="2" spans="1:85" ht="16.5" customHeight="1" x14ac:dyDescent="0.2">
      <c r="A2" s="653" t="s">
        <v>25</v>
      </c>
      <c r="B2" s="667" t="s">
        <v>2</v>
      </c>
      <c r="C2" s="670" t="s">
        <v>26</v>
      </c>
      <c r="D2" s="647" t="s">
        <v>76</v>
      </c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648"/>
      <c r="AN2" s="648"/>
      <c r="AO2" s="648"/>
      <c r="AP2" s="648"/>
      <c r="AQ2" s="648"/>
      <c r="AR2" s="648"/>
      <c r="AS2" s="648"/>
      <c r="AT2" s="648"/>
      <c r="AU2" s="648"/>
      <c r="AV2" s="648"/>
      <c r="AW2" s="648"/>
      <c r="AX2" s="648"/>
      <c r="AY2" s="648"/>
      <c r="AZ2" s="648"/>
      <c r="BA2" s="648"/>
      <c r="BB2" s="648"/>
      <c r="BC2" s="648"/>
      <c r="BD2" s="648"/>
      <c r="BE2" s="648"/>
      <c r="BF2" s="648"/>
      <c r="BG2" s="648"/>
      <c r="BH2" s="648"/>
      <c r="BI2" s="648"/>
      <c r="BJ2" s="648"/>
      <c r="BK2" s="648"/>
      <c r="BL2" s="648"/>
      <c r="BM2" s="648"/>
      <c r="BN2" s="648"/>
      <c r="BO2" s="648"/>
      <c r="BP2" s="648"/>
      <c r="BQ2" s="648"/>
      <c r="BR2" s="648"/>
      <c r="BS2" s="648"/>
      <c r="BT2" s="648"/>
      <c r="BU2" s="648"/>
      <c r="BV2" s="648"/>
      <c r="BW2" s="648"/>
      <c r="BX2" s="648"/>
      <c r="BY2" s="648"/>
      <c r="BZ2" s="648"/>
      <c r="CA2" s="648"/>
      <c r="CB2" s="648"/>
      <c r="CC2" s="648"/>
      <c r="CD2" s="648"/>
      <c r="CE2" s="649"/>
      <c r="CF2" s="91"/>
      <c r="CG2" s="2"/>
    </row>
    <row r="3" spans="1:85" s="94" customFormat="1" ht="24.75" customHeight="1" x14ac:dyDescent="0.2">
      <c r="A3" s="654"/>
      <c r="B3" s="668"/>
      <c r="C3" s="671"/>
      <c r="D3" s="650" t="s">
        <v>15</v>
      </c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2"/>
      <c r="R3" s="650" t="s">
        <v>5</v>
      </c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2"/>
      <c r="AF3" s="650" t="s">
        <v>16</v>
      </c>
      <c r="AG3" s="651"/>
      <c r="AH3" s="651"/>
      <c r="AI3" s="651"/>
      <c r="AJ3" s="651"/>
      <c r="AK3" s="651"/>
      <c r="AL3" s="651"/>
      <c r="AM3" s="651"/>
      <c r="AN3" s="651"/>
      <c r="AO3" s="651"/>
      <c r="AP3" s="651"/>
      <c r="AQ3" s="651"/>
      <c r="AR3" s="651"/>
      <c r="AS3" s="652"/>
      <c r="AT3" s="650" t="s">
        <v>17</v>
      </c>
      <c r="AU3" s="651"/>
      <c r="AV3" s="651"/>
      <c r="AW3" s="651"/>
      <c r="AX3" s="651"/>
      <c r="AY3" s="651"/>
      <c r="AZ3" s="651"/>
      <c r="BA3" s="651"/>
      <c r="BB3" s="651"/>
      <c r="BC3" s="651"/>
      <c r="BD3" s="651"/>
      <c r="BE3" s="651"/>
      <c r="BF3" s="651"/>
      <c r="BG3" s="652"/>
      <c r="BH3" s="650" t="s">
        <v>18</v>
      </c>
      <c r="BI3" s="651"/>
      <c r="BJ3" s="651"/>
      <c r="BK3" s="651"/>
      <c r="BL3" s="651"/>
      <c r="BM3" s="651"/>
      <c r="BN3" s="651"/>
      <c r="BO3" s="651"/>
      <c r="BP3" s="651"/>
      <c r="BQ3" s="651"/>
      <c r="BR3" s="651"/>
      <c r="BS3" s="652"/>
      <c r="BT3" s="650" t="s">
        <v>19</v>
      </c>
      <c r="BU3" s="651"/>
      <c r="BV3" s="651"/>
      <c r="BW3" s="651"/>
      <c r="BX3" s="651"/>
      <c r="BY3" s="651"/>
      <c r="BZ3" s="651"/>
      <c r="CA3" s="651"/>
      <c r="CB3" s="651"/>
      <c r="CC3" s="651"/>
      <c r="CD3" s="651"/>
      <c r="CE3" s="652"/>
      <c r="CF3" s="92"/>
      <c r="CG3" s="93"/>
    </row>
    <row r="4" spans="1:85" s="94" customFormat="1" ht="24" customHeight="1" x14ac:dyDescent="0.2">
      <c r="A4" s="654"/>
      <c r="B4" s="668"/>
      <c r="C4" s="671"/>
      <c r="D4" s="650" t="s">
        <v>145</v>
      </c>
      <c r="E4" s="652"/>
      <c r="F4" s="656" t="s">
        <v>183</v>
      </c>
      <c r="G4" s="656" t="s">
        <v>179</v>
      </c>
      <c r="H4" s="650" t="s">
        <v>146</v>
      </c>
      <c r="I4" s="652"/>
      <c r="J4" s="656" t="s">
        <v>183</v>
      </c>
      <c r="K4" s="656" t="s">
        <v>179</v>
      </c>
      <c r="L4" s="650" t="s">
        <v>147</v>
      </c>
      <c r="M4" s="652"/>
      <c r="N4" s="656" t="s">
        <v>183</v>
      </c>
      <c r="O4" s="656" t="s">
        <v>179</v>
      </c>
      <c r="P4" s="245" t="s">
        <v>148</v>
      </c>
      <c r="Q4" s="246" t="s">
        <v>150</v>
      </c>
      <c r="R4" s="650" t="s">
        <v>145</v>
      </c>
      <c r="S4" s="652"/>
      <c r="T4" s="656" t="s">
        <v>183</v>
      </c>
      <c r="U4" s="656" t="s">
        <v>179</v>
      </c>
      <c r="V4" s="650" t="s">
        <v>146</v>
      </c>
      <c r="W4" s="652"/>
      <c r="X4" s="656" t="s">
        <v>183</v>
      </c>
      <c r="Y4" s="656" t="s">
        <v>179</v>
      </c>
      <c r="Z4" s="650" t="s">
        <v>147</v>
      </c>
      <c r="AA4" s="652"/>
      <c r="AB4" s="656" t="s">
        <v>183</v>
      </c>
      <c r="AC4" s="656" t="s">
        <v>179</v>
      </c>
      <c r="AD4" s="245" t="s">
        <v>148</v>
      </c>
      <c r="AE4" s="246" t="s">
        <v>150</v>
      </c>
      <c r="AF4" s="650" t="s">
        <v>145</v>
      </c>
      <c r="AG4" s="652"/>
      <c r="AH4" s="656" t="s">
        <v>183</v>
      </c>
      <c r="AI4" s="656" t="s">
        <v>179</v>
      </c>
      <c r="AJ4" s="650" t="s">
        <v>146</v>
      </c>
      <c r="AK4" s="652"/>
      <c r="AL4" s="656" t="s">
        <v>183</v>
      </c>
      <c r="AM4" s="656" t="s">
        <v>179</v>
      </c>
      <c r="AN4" s="650" t="s">
        <v>147</v>
      </c>
      <c r="AO4" s="652"/>
      <c r="AP4" s="656" t="s">
        <v>183</v>
      </c>
      <c r="AQ4" s="656" t="s">
        <v>179</v>
      </c>
      <c r="AR4" s="245" t="s">
        <v>148</v>
      </c>
      <c r="AS4" s="246" t="s">
        <v>150</v>
      </c>
      <c r="AT4" s="650" t="s">
        <v>145</v>
      </c>
      <c r="AU4" s="652"/>
      <c r="AV4" s="656" t="s">
        <v>183</v>
      </c>
      <c r="AW4" s="656" t="s">
        <v>179</v>
      </c>
      <c r="AX4" s="650" t="s">
        <v>146</v>
      </c>
      <c r="AY4" s="652"/>
      <c r="AZ4" s="656" t="s">
        <v>183</v>
      </c>
      <c r="BA4" s="656" t="s">
        <v>179</v>
      </c>
      <c r="BB4" s="650" t="s">
        <v>147</v>
      </c>
      <c r="BC4" s="652"/>
      <c r="BD4" s="656" t="s">
        <v>183</v>
      </c>
      <c r="BE4" s="656" t="s">
        <v>179</v>
      </c>
      <c r="BF4" s="245" t="s">
        <v>148</v>
      </c>
      <c r="BG4" s="246" t="s">
        <v>150</v>
      </c>
      <c r="BH4" s="650" t="s">
        <v>145</v>
      </c>
      <c r="BI4" s="652"/>
      <c r="BJ4" s="656" t="s">
        <v>183</v>
      </c>
      <c r="BK4" s="656" t="s">
        <v>179</v>
      </c>
      <c r="BL4" s="650" t="s">
        <v>146</v>
      </c>
      <c r="BM4" s="652"/>
      <c r="BN4" s="656" t="s">
        <v>183</v>
      </c>
      <c r="BO4" s="656" t="s">
        <v>179</v>
      </c>
      <c r="BP4" s="650" t="s">
        <v>147</v>
      </c>
      <c r="BQ4" s="652"/>
      <c r="BR4" s="656" t="s">
        <v>183</v>
      </c>
      <c r="BS4" s="656" t="s">
        <v>179</v>
      </c>
      <c r="BT4" s="650" t="s">
        <v>145</v>
      </c>
      <c r="BU4" s="652"/>
      <c r="BV4" s="656" t="s">
        <v>184</v>
      </c>
      <c r="BW4" s="656" t="s">
        <v>179</v>
      </c>
      <c r="BX4" s="650" t="s">
        <v>146</v>
      </c>
      <c r="BY4" s="652"/>
      <c r="BZ4" s="656" t="s">
        <v>183</v>
      </c>
      <c r="CA4" s="656" t="s">
        <v>179</v>
      </c>
      <c r="CB4" s="650" t="s">
        <v>147</v>
      </c>
      <c r="CC4" s="652"/>
      <c r="CD4" s="656" t="s">
        <v>183</v>
      </c>
      <c r="CE4" s="656" t="s">
        <v>179</v>
      </c>
      <c r="CF4" s="92"/>
      <c r="CG4" s="93"/>
    </row>
    <row r="5" spans="1:85" ht="34.5" customHeight="1" x14ac:dyDescent="0.2">
      <c r="A5" s="655"/>
      <c r="B5" s="669"/>
      <c r="C5" s="672"/>
      <c r="D5" s="247" t="s">
        <v>90</v>
      </c>
      <c r="E5" s="247" t="s">
        <v>91</v>
      </c>
      <c r="F5" s="657"/>
      <c r="G5" s="657"/>
      <c r="H5" s="247" t="s">
        <v>90</v>
      </c>
      <c r="I5" s="247" t="s">
        <v>91</v>
      </c>
      <c r="J5" s="657"/>
      <c r="K5" s="657"/>
      <c r="L5" s="381" t="s">
        <v>90</v>
      </c>
      <c r="M5" s="381" t="s">
        <v>91</v>
      </c>
      <c r="N5" s="657"/>
      <c r="O5" s="657"/>
      <c r="P5" s="247" t="s">
        <v>90</v>
      </c>
      <c r="Q5" s="247" t="s">
        <v>90</v>
      </c>
      <c r="R5" s="247" t="s">
        <v>90</v>
      </c>
      <c r="S5" s="247" t="s">
        <v>91</v>
      </c>
      <c r="T5" s="657"/>
      <c r="U5" s="657"/>
      <c r="V5" s="247" t="s">
        <v>90</v>
      </c>
      <c r="W5" s="247" t="s">
        <v>91</v>
      </c>
      <c r="X5" s="657"/>
      <c r="Y5" s="657"/>
      <c r="Z5" s="381" t="s">
        <v>90</v>
      </c>
      <c r="AA5" s="381" t="s">
        <v>91</v>
      </c>
      <c r="AB5" s="657"/>
      <c r="AC5" s="657"/>
      <c r="AD5" s="247" t="s">
        <v>90</v>
      </c>
      <c r="AE5" s="247" t="s">
        <v>90</v>
      </c>
      <c r="AF5" s="247" t="s">
        <v>90</v>
      </c>
      <c r="AG5" s="247" t="s">
        <v>91</v>
      </c>
      <c r="AH5" s="657"/>
      <c r="AI5" s="657"/>
      <c r="AJ5" s="247" t="s">
        <v>90</v>
      </c>
      <c r="AK5" s="247" t="s">
        <v>91</v>
      </c>
      <c r="AL5" s="657"/>
      <c r="AM5" s="657"/>
      <c r="AN5" s="381" t="s">
        <v>90</v>
      </c>
      <c r="AO5" s="381" t="s">
        <v>91</v>
      </c>
      <c r="AP5" s="657"/>
      <c r="AQ5" s="657"/>
      <c r="AR5" s="247" t="s">
        <v>90</v>
      </c>
      <c r="AS5" s="247" t="s">
        <v>90</v>
      </c>
      <c r="AT5" s="247" t="s">
        <v>90</v>
      </c>
      <c r="AU5" s="247" t="s">
        <v>91</v>
      </c>
      <c r="AV5" s="657"/>
      <c r="AW5" s="657"/>
      <c r="AX5" s="247" t="s">
        <v>90</v>
      </c>
      <c r="AY5" s="247" t="s">
        <v>91</v>
      </c>
      <c r="AZ5" s="657"/>
      <c r="BA5" s="657"/>
      <c r="BB5" s="381" t="s">
        <v>90</v>
      </c>
      <c r="BC5" s="381" t="s">
        <v>91</v>
      </c>
      <c r="BD5" s="657"/>
      <c r="BE5" s="657"/>
      <c r="BF5" s="247" t="s">
        <v>90</v>
      </c>
      <c r="BG5" s="247" t="s">
        <v>90</v>
      </c>
      <c r="BH5" s="247" t="s">
        <v>90</v>
      </c>
      <c r="BI5" s="247" t="s">
        <v>91</v>
      </c>
      <c r="BJ5" s="657"/>
      <c r="BK5" s="657"/>
      <c r="BL5" s="247" t="s">
        <v>90</v>
      </c>
      <c r="BM5" s="247" t="s">
        <v>91</v>
      </c>
      <c r="BN5" s="657"/>
      <c r="BO5" s="657"/>
      <c r="BP5" s="381" t="s">
        <v>90</v>
      </c>
      <c r="BQ5" s="381" t="s">
        <v>91</v>
      </c>
      <c r="BR5" s="657"/>
      <c r="BS5" s="657"/>
      <c r="BT5" s="247" t="s">
        <v>90</v>
      </c>
      <c r="BU5" s="247" t="s">
        <v>91</v>
      </c>
      <c r="BV5" s="657"/>
      <c r="BW5" s="657"/>
      <c r="BX5" s="247" t="s">
        <v>90</v>
      </c>
      <c r="BY5" s="247" t="s">
        <v>91</v>
      </c>
      <c r="BZ5" s="657"/>
      <c r="CA5" s="657"/>
      <c r="CB5" s="381" t="s">
        <v>90</v>
      </c>
      <c r="CC5" s="381" t="s">
        <v>91</v>
      </c>
      <c r="CD5" s="657"/>
      <c r="CE5" s="657"/>
      <c r="CF5" s="91"/>
      <c r="CG5" s="2"/>
    </row>
    <row r="6" spans="1:85" x14ac:dyDescent="0.2">
      <c r="A6" s="95">
        <v>1</v>
      </c>
      <c r="B6" s="248">
        <f>A6+1</f>
        <v>2</v>
      </c>
      <c r="C6" s="248">
        <f>B6+1</f>
        <v>3</v>
      </c>
      <c r="D6" s="248">
        <f>C6+1</f>
        <v>4</v>
      </c>
      <c r="E6" s="248">
        <v>5</v>
      </c>
      <c r="F6" s="248">
        <v>6</v>
      </c>
      <c r="G6" s="248">
        <v>7</v>
      </c>
      <c r="H6" s="248">
        <v>4</v>
      </c>
      <c r="I6" s="248">
        <v>5</v>
      </c>
      <c r="J6" s="248">
        <v>6</v>
      </c>
      <c r="K6" s="248">
        <v>7</v>
      </c>
      <c r="L6" s="248">
        <v>9</v>
      </c>
      <c r="M6" s="248"/>
      <c r="N6" s="248"/>
      <c r="O6" s="248"/>
      <c r="P6" s="248">
        <f>L6+1</f>
        <v>10</v>
      </c>
      <c r="Q6" s="248">
        <f>P6+1</f>
        <v>11</v>
      </c>
      <c r="R6" s="248">
        <v>8</v>
      </c>
      <c r="S6" s="248">
        <v>9</v>
      </c>
      <c r="T6" s="248">
        <v>10</v>
      </c>
      <c r="U6" s="248">
        <v>11</v>
      </c>
      <c r="V6" s="248">
        <v>8</v>
      </c>
      <c r="W6" s="248">
        <v>9</v>
      </c>
      <c r="X6" s="248">
        <v>10</v>
      </c>
      <c r="Y6" s="248">
        <v>11</v>
      </c>
      <c r="Z6" s="248">
        <f>V6+1</f>
        <v>9</v>
      </c>
      <c r="AA6" s="248"/>
      <c r="AB6" s="248"/>
      <c r="AC6" s="248"/>
      <c r="AD6" s="248">
        <f>Z6+1</f>
        <v>10</v>
      </c>
      <c r="AE6" s="248">
        <f>AD6+1</f>
        <v>11</v>
      </c>
      <c r="AF6" s="248">
        <v>12</v>
      </c>
      <c r="AG6" s="248">
        <v>13</v>
      </c>
      <c r="AH6" s="248">
        <v>14</v>
      </c>
      <c r="AI6" s="248">
        <v>15</v>
      </c>
      <c r="AJ6" s="248">
        <v>12</v>
      </c>
      <c r="AK6" s="248">
        <v>13</v>
      </c>
      <c r="AL6" s="248">
        <v>14</v>
      </c>
      <c r="AM6" s="248">
        <v>15</v>
      </c>
      <c r="AN6" s="248">
        <f>AJ6+1</f>
        <v>13</v>
      </c>
      <c r="AO6" s="248"/>
      <c r="AP6" s="248"/>
      <c r="AQ6" s="248"/>
      <c r="AR6" s="248">
        <f>AN6+1</f>
        <v>14</v>
      </c>
      <c r="AS6" s="248">
        <f>AR6+1</f>
        <v>15</v>
      </c>
      <c r="AT6" s="248">
        <v>16</v>
      </c>
      <c r="AU6" s="248">
        <v>17</v>
      </c>
      <c r="AV6" s="248">
        <v>18</v>
      </c>
      <c r="AW6" s="248">
        <v>19</v>
      </c>
      <c r="AX6" s="248">
        <v>16</v>
      </c>
      <c r="AY6" s="248">
        <v>17</v>
      </c>
      <c r="AZ6" s="248">
        <v>18</v>
      </c>
      <c r="BA6" s="248">
        <v>19</v>
      </c>
      <c r="BB6" s="248">
        <f>AX6+1</f>
        <v>17</v>
      </c>
      <c r="BC6" s="248"/>
      <c r="BD6" s="248"/>
      <c r="BE6" s="248"/>
      <c r="BF6" s="248">
        <f>BB6+1</f>
        <v>18</v>
      </c>
      <c r="BG6" s="248">
        <f>BF6+1</f>
        <v>19</v>
      </c>
      <c r="BH6" s="248">
        <v>20</v>
      </c>
      <c r="BI6" s="248">
        <v>21</v>
      </c>
      <c r="BJ6" s="248">
        <v>22</v>
      </c>
      <c r="BK6" s="248">
        <v>23</v>
      </c>
      <c r="BL6" s="248">
        <v>20</v>
      </c>
      <c r="BM6" s="248">
        <v>21</v>
      </c>
      <c r="BN6" s="248">
        <v>22</v>
      </c>
      <c r="BO6" s="248">
        <v>23</v>
      </c>
      <c r="BP6" s="248">
        <f>BO6+1</f>
        <v>24</v>
      </c>
      <c r="BQ6" s="248"/>
      <c r="BR6" s="248"/>
      <c r="BS6" s="248"/>
      <c r="BT6" s="248">
        <v>24</v>
      </c>
      <c r="BU6" s="248">
        <v>25</v>
      </c>
      <c r="BV6" s="248">
        <v>26</v>
      </c>
      <c r="BW6" s="248">
        <v>27</v>
      </c>
      <c r="BX6" s="248">
        <v>24</v>
      </c>
      <c r="BY6" s="248">
        <v>25</v>
      </c>
      <c r="BZ6" s="248">
        <v>26</v>
      </c>
      <c r="CA6" s="248">
        <v>27</v>
      </c>
      <c r="CB6" s="248">
        <f>BX6+1</f>
        <v>25</v>
      </c>
      <c r="CC6" s="248">
        <f>CB6+1</f>
        <v>26</v>
      </c>
      <c r="CD6" s="248"/>
      <c r="CE6" s="248">
        <f>CC6+1</f>
        <v>27</v>
      </c>
      <c r="CF6" s="91"/>
      <c r="CG6" s="2"/>
    </row>
    <row r="7" spans="1:85" ht="15.75" x14ac:dyDescent="0.2">
      <c r="A7" s="96" t="s">
        <v>55</v>
      </c>
      <c r="B7" s="664" t="s">
        <v>28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665"/>
      <c r="W7" s="665"/>
      <c r="X7" s="665"/>
      <c r="Y7" s="665"/>
      <c r="Z7" s="665"/>
      <c r="AA7" s="665"/>
      <c r="AB7" s="665"/>
      <c r="AC7" s="665"/>
      <c r="AD7" s="665"/>
      <c r="AE7" s="665"/>
      <c r="AF7" s="665"/>
      <c r="AG7" s="665"/>
      <c r="AH7" s="665"/>
      <c r="AI7" s="665"/>
      <c r="AJ7" s="665"/>
      <c r="AK7" s="665"/>
      <c r="AL7" s="665"/>
      <c r="AM7" s="665"/>
      <c r="AN7" s="665"/>
      <c r="AO7" s="665"/>
      <c r="AP7" s="665"/>
      <c r="AQ7" s="665"/>
      <c r="AR7" s="665"/>
      <c r="AS7" s="665"/>
      <c r="AT7" s="665"/>
      <c r="AU7" s="665"/>
      <c r="AV7" s="665"/>
      <c r="AW7" s="665"/>
      <c r="AX7" s="665"/>
      <c r="AY7" s="665"/>
      <c r="AZ7" s="665"/>
      <c r="BA7" s="665"/>
      <c r="BB7" s="665"/>
      <c r="BC7" s="665"/>
      <c r="BD7" s="665"/>
      <c r="BE7" s="665"/>
      <c r="BF7" s="665"/>
      <c r="BG7" s="665"/>
      <c r="BH7" s="665"/>
      <c r="BI7" s="665"/>
      <c r="BJ7" s="665"/>
      <c r="BK7" s="665"/>
      <c r="BL7" s="665"/>
      <c r="BM7" s="665"/>
      <c r="BN7" s="665"/>
      <c r="BO7" s="665"/>
      <c r="BP7" s="665"/>
      <c r="BQ7" s="665"/>
      <c r="BR7" s="665"/>
      <c r="BS7" s="665"/>
      <c r="BT7" s="665"/>
      <c r="BU7" s="665"/>
      <c r="BV7" s="665"/>
      <c r="BW7" s="665"/>
      <c r="BX7" s="665"/>
      <c r="BY7" s="665"/>
      <c r="BZ7" s="665"/>
      <c r="CA7" s="665"/>
      <c r="CB7" s="665"/>
      <c r="CC7" s="665"/>
      <c r="CD7" s="665"/>
      <c r="CE7" s="666"/>
      <c r="CF7" s="91"/>
      <c r="CG7" s="2"/>
    </row>
    <row r="8" spans="1:85" ht="118.5" customHeight="1" x14ac:dyDescent="0.2">
      <c r="A8" s="97" t="s">
        <v>57</v>
      </c>
      <c r="B8" s="249" t="s">
        <v>231</v>
      </c>
      <c r="C8" s="250" t="s">
        <v>4</v>
      </c>
      <c r="D8" s="251">
        <f>D9/D10*100</f>
        <v>0</v>
      </c>
      <c r="E8" s="252">
        <v>0.8</v>
      </c>
      <c r="F8" s="253">
        <f t="shared" ref="F8:F13" si="0">E8-D8</f>
        <v>0.8</v>
      </c>
      <c r="G8" s="254"/>
      <c r="H8" s="255">
        <f>H9/H10*100</f>
        <v>0</v>
      </c>
      <c r="I8" s="255">
        <f>I9/I10*100</f>
        <v>0</v>
      </c>
      <c r="J8" s="253">
        <f t="shared" ref="J8:J13" si="1">I8-H8</f>
        <v>0</v>
      </c>
      <c r="K8" s="254"/>
      <c r="L8" s="439">
        <f t="shared" ref="L8" si="2">L9/L10*100</f>
        <v>0</v>
      </c>
      <c r="M8" s="450">
        <v>0.1</v>
      </c>
      <c r="N8" s="446">
        <f t="shared" ref="N8:N13" si="3">M8-L8</f>
        <v>0.1</v>
      </c>
      <c r="O8" s="451"/>
      <c r="P8" s="252">
        <f>P9/P10*100</f>
        <v>0</v>
      </c>
      <c r="Q8" s="252">
        <f>Q9/Q10*100</f>
        <v>0</v>
      </c>
      <c r="R8" s="256">
        <f>R9/R10*100</f>
        <v>0</v>
      </c>
      <c r="S8" s="256">
        <v>2.7</v>
      </c>
      <c r="T8" s="256">
        <f t="shared" ref="T8:T13" si="4">S8-R8</f>
        <v>2.7</v>
      </c>
      <c r="U8" s="254"/>
      <c r="V8" s="255">
        <f>V9/V10*100</f>
        <v>0</v>
      </c>
      <c r="W8" s="255">
        <f>W9/W10*100</f>
        <v>2.6923076923076925</v>
      </c>
      <c r="X8" s="256">
        <f t="shared" ref="X8:X13" si="5">W8-V8</f>
        <v>2.6923076923076925</v>
      </c>
      <c r="Y8" s="254"/>
      <c r="Z8" s="439">
        <v>0</v>
      </c>
      <c r="AA8" s="487">
        <v>10.3</v>
      </c>
      <c r="AB8" s="487">
        <f t="shared" ref="AB8:AB13" si="6">AA8-Z8</f>
        <v>10.3</v>
      </c>
      <c r="AC8" s="441"/>
      <c r="AD8" s="252">
        <f>AD9/AD10*100</f>
        <v>0</v>
      </c>
      <c r="AE8" s="252">
        <f>AE9/AE10*100</f>
        <v>0</v>
      </c>
      <c r="AF8" s="256">
        <f>AF9/AF10*100</f>
        <v>0</v>
      </c>
      <c r="AG8" s="256">
        <v>0</v>
      </c>
      <c r="AH8" s="256">
        <f t="shared" ref="AH8:AH13" si="7">AG8-AF8</f>
        <v>0</v>
      </c>
      <c r="AI8" s="254"/>
      <c r="AJ8" s="255">
        <f>AJ9/AJ10*100</f>
        <v>0</v>
      </c>
      <c r="AK8" s="255">
        <f>AK9/AK10*100</f>
        <v>0</v>
      </c>
      <c r="AL8" s="256">
        <f t="shared" ref="AL8:AL13" si="8">AK8-AJ8</f>
        <v>0</v>
      </c>
      <c r="AM8" s="254"/>
      <c r="AN8" s="471">
        <v>0</v>
      </c>
      <c r="AO8" s="487">
        <v>0</v>
      </c>
      <c r="AP8" s="472">
        <f t="shared" ref="AP8:AP13" si="9">AO8-AN8</f>
        <v>0</v>
      </c>
      <c r="AQ8" s="441"/>
      <c r="AR8" s="252">
        <f>AR9/AR10*100</f>
        <v>0</v>
      </c>
      <c r="AS8" s="255">
        <f>AS9/AS10*100</f>
        <v>0</v>
      </c>
      <c r="AT8" s="256">
        <f>AT9/AT10*100</f>
        <v>0</v>
      </c>
      <c r="AU8" s="256">
        <v>1.02</v>
      </c>
      <c r="AV8" s="256">
        <f t="shared" ref="AV8:AV13" si="10">AU8-AT8</f>
        <v>1.02</v>
      </c>
      <c r="AW8" s="254"/>
      <c r="AX8" s="255">
        <f>AX9/AX10*100</f>
        <v>0</v>
      </c>
      <c r="AY8" s="255">
        <f>AY9/AY10*100</f>
        <v>0</v>
      </c>
      <c r="AZ8" s="256">
        <f t="shared" ref="AZ8:AZ13" si="11">AY8-AX8</f>
        <v>0</v>
      </c>
      <c r="BA8" s="254"/>
      <c r="BB8" s="439">
        <v>0</v>
      </c>
      <c r="BC8" s="487">
        <v>0.7</v>
      </c>
      <c r="BD8" s="487">
        <f t="shared" ref="BD8:BD13" si="12">BC8-BB8</f>
        <v>0.7</v>
      </c>
      <c r="BE8" s="451"/>
      <c r="BF8" s="252">
        <f>BF9/BF10*100</f>
        <v>0</v>
      </c>
      <c r="BG8" s="257">
        <f>BG9/BG10*100</f>
        <v>0</v>
      </c>
      <c r="BH8" s="256">
        <f>BH9/BH10*100</f>
        <v>0</v>
      </c>
      <c r="BI8" s="256">
        <v>0</v>
      </c>
      <c r="BJ8" s="256">
        <f t="shared" ref="BJ8:BJ13" si="13">BI8-BH8</f>
        <v>0</v>
      </c>
      <c r="BK8" s="254"/>
      <c r="BL8" s="255">
        <f>BL9/BL10*100</f>
        <v>0</v>
      </c>
      <c r="BM8" s="255">
        <f>BM9/BM10*100</f>
        <v>0.6097560975609756</v>
      </c>
      <c r="BN8" s="256">
        <f t="shared" ref="BN8:BN13" si="14">BM8-BL8</f>
        <v>0.6097560975609756</v>
      </c>
      <c r="BO8" s="254"/>
      <c r="BP8" s="439">
        <f t="shared" ref="BP8" si="15">BP9/BP10*100</f>
        <v>0</v>
      </c>
      <c r="BQ8" s="487">
        <v>3.4</v>
      </c>
      <c r="BR8" s="487">
        <f t="shared" ref="BR8:BR13" si="16">BQ8-BP8</f>
        <v>3.4</v>
      </c>
      <c r="BS8" s="451"/>
      <c r="BT8" s="258">
        <f>BT9/BT10*100</f>
        <v>0</v>
      </c>
      <c r="BU8" s="256">
        <v>0</v>
      </c>
      <c r="BV8" s="256">
        <f t="shared" ref="BV8:BV13" si="17">BU8-BT8</f>
        <v>0</v>
      </c>
      <c r="BW8" s="321"/>
      <c r="BX8" s="258">
        <f>BX9/BX10*100</f>
        <v>0</v>
      </c>
      <c r="BY8" s="255">
        <f>BY9/BY10*100</f>
        <v>0</v>
      </c>
      <c r="BZ8" s="256">
        <f t="shared" ref="BZ8:BZ13" si="18">BY8-BX8</f>
        <v>0</v>
      </c>
      <c r="CA8" s="254"/>
      <c r="CB8" s="487">
        <f t="shared" ref="CB8" si="19">CB9/CB10*100</f>
        <v>0</v>
      </c>
      <c r="CC8" s="487">
        <v>0</v>
      </c>
      <c r="CD8" s="472">
        <f t="shared" ref="CD8:CD13" si="20">CC8-CB8</f>
        <v>0</v>
      </c>
      <c r="CE8" s="441"/>
      <c r="CF8" s="91"/>
      <c r="CG8" s="2"/>
    </row>
    <row r="9" spans="1:85" ht="54" customHeight="1" x14ac:dyDescent="0.2">
      <c r="A9" s="98" t="s">
        <v>30</v>
      </c>
      <c r="B9" s="259" t="s">
        <v>52</v>
      </c>
      <c r="C9" s="260" t="s">
        <v>54</v>
      </c>
      <c r="D9" s="261">
        <v>0</v>
      </c>
      <c r="E9" s="262">
        <v>12</v>
      </c>
      <c r="F9" s="262">
        <f t="shared" si="0"/>
        <v>12</v>
      </c>
      <c r="G9" s="263" t="s">
        <v>188</v>
      </c>
      <c r="H9" s="262">
        <v>0</v>
      </c>
      <c r="I9" s="262">
        <v>0</v>
      </c>
      <c r="J9" s="262">
        <f t="shared" si="1"/>
        <v>0</v>
      </c>
      <c r="K9" s="263"/>
      <c r="L9" s="442">
        <v>0</v>
      </c>
      <c r="M9" s="442">
        <v>1</v>
      </c>
      <c r="N9" s="442">
        <f t="shared" si="3"/>
        <v>1</v>
      </c>
      <c r="O9" s="449"/>
      <c r="P9" s="262">
        <v>0</v>
      </c>
      <c r="Q9" s="262">
        <v>0</v>
      </c>
      <c r="R9" s="264">
        <v>0</v>
      </c>
      <c r="S9" s="262">
        <v>9</v>
      </c>
      <c r="T9" s="262">
        <f t="shared" si="4"/>
        <v>9</v>
      </c>
      <c r="U9" s="263" t="s">
        <v>188</v>
      </c>
      <c r="V9" s="262">
        <v>0</v>
      </c>
      <c r="W9" s="262">
        <v>7</v>
      </c>
      <c r="X9" s="262">
        <f t="shared" si="5"/>
        <v>7</v>
      </c>
      <c r="Y9" s="263" t="s">
        <v>188</v>
      </c>
      <c r="Z9" s="442">
        <v>0</v>
      </c>
      <c r="AA9" s="442">
        <v>33</v>
      </c>
      <c r="AB9" s="442">
        <f t="shared" si="6"/>
        <v>33</v>
      </c>
      <c r="AC9" s="444"/>
      <c r="AD9" s="262">
        <v>0</v>
      </c>
      <c r="AE9" s="262">
        <v>0</v>
      </c>
      <c r="AF9" s="264">
        <v>0</v>
      </c>
      <c r="AG9" s="262">
        <v>0</v>
      </c>
      <c r="AH9" s="262">
        <f t="shared" si="7"/>
        <v>0</v>
      </c>
      <c r="AI9" s="265"/>
      <c r="AJ9" s="262">
        <v>0</v>
      </c>
      <c r="AK9" s="262">
        <v>0</v>
      </c>
      <c r="AL9" s="262">
        <f t="shared" si="8"/>
        <v>0</v>
      </c>
      <c r="AM9" s="265"/>
      <c r="AN9" s="443">
        <v>0</v>
      </c>
      <c r="AO9" s="442">
        <v>0</v>
      </c>
      <c r="AP9" s="443">
        <f t="shared" si="9"/>
        <v>0</v>
      </c>
      <c r="AQ9" s="491"/>
      <c r="AR9" s="262">
        <v>0</v>
      </c>
      <c r="AS9" s="262">
        <v>0</v>
      </c>
      <c r="AT9" s="264">
        <v>0</v>
      </c>
      <c r="AU9" s="262">
        <v>4</v>
      </c>
      <c r="AV9" s="262">
        <f t="shared" si="10"/>
        <v>4</v>
      </c>
      <c r="AW9" s="263" t="s">
        <v>189</v>
      </c>
      <c r="AX9" s="262">
        <v>0</v>
      </c>
      <c r="AY9" s="262">
        <v>0</v>
      </c>
      <c r="AZ9" s="262">
        <f t="shared" si="11"/>
        <v>0</v>
      </c>
      <c r="BA9" s="263"/>
      <c r="BB9" s="442">
        <v>0</v>
      </c>
      <c r="BC9" s="442">
        <v>2</v>
      </c>
      <c r="BD9" s="442">
        <f t="shared" si="12"/>
        <v>2</v>
      </c>
      <c r="BE9" s="449"/>
      <c r="BF9" s="262">
        <v>0</v>
      </c>
      <c r="BG9" s="262">
        <v>0</v>
      </c>
      <c r="BH9" s="264">
        <v>0</v>
      </c>
      <c r="BI9" s="262">
        <v>0</v>
      </c>
      <c r="BJ9" s="262">
        <f t="shared" si="13"/>
        <v>0</v>
      </c>
      <c r="BK9" s="265"/>
      <c r="BL9" s="262">
        <v>0</v>
      </c>
      <c r="BM9" s="262">
        <v>1</v>
      </c>
      <c r="BN9" s="262">
        <f t="shared" si="14"/>
        <v>1</v>
      </c>
      <c r="BO9" s="263"/>
      <c r="BP9" s="442">
        <v>0</v>
      </c>
      <c r="BQ9" s="442">
        <v>3</v>
      </c>
      <c r="BR9" s="442">
        <f t="shared" si="16"/>
        <v>3</v>
      </c>
      <c r="BS9" s="449"/>
      <c r="BT9" s="261">
        <v>0</v>
      </c>
      <c r="BU9" s="262">
        <v>0</v>
      </c>
      <c r="BV9" s="262">
        <f t="shared" si="17"/>
        <v>0</v>
      </c>
      <c r="BW9" s="266"/>
      <c r="BX9" s="261">
        <v>0</v>
      </c>
      <c r="BY9" s="262">
        <v>0</v>
      </c>
      <c r="BZ9" s="264">
        <f t="shared" si="18"/>
        <v>0</v>
      </c>
      <c r="CA9" s="267"/>
      <c r="CB9" s="489">
        <v>0</v>
      </c>
      <c r="CC9" s="489">
        <v>0</v>
      </c>
      <c r="CD9" s="516">
        <f t="shared" si="20"/>
        <v>0</v>
      </c>
      <c r="CE9" s="517"/>
      <c r="CF9" s="91"/>
      <c r="CG9" s="2"/>
    </row>
    <row r="10" spans="1:85" ht="55.5" customHeight="1" x14ac:dyDescent="0.2">
      <c r="A10" s="98" t="s">
        <v>31</v>
      </c>
      <c r="B10" s="259" t="s">
        <v>53</v>
      </c>
      <c r="C10" s="260" t="s">
        <v>54</v>
      </c>
      <c r="D10" s="261">
        <v>1348</v>
      </c>
      <c r="E10" s="262">
        <v>1506</v>
      </c>
      <c r="F10" s="262">
        <f t="shared" si="0"/>
        <v>158</v>
      </c>
      <c r="G10" s="263" t="s">
        <v>209</v>
      </c>
      <c r="H10" s="262">
        <v>1348</v>
      </c>
      <c r="I10" s="262">
        <v>1282</v>
      </c>
      <c r="J10" s="262">
        <f t="shared" si="1"/>
        <v>-66</v>
      </c>
      <c r="K10" s="263" t="s">
        <v>221</v>
      </c>
      <c r="L10" s="442">
        <v>1348</v>
      </c>
      <c r="M10" s="442">
        <v>1203</v>
      </c>
      <c r="N10" s="442">
        <f t="shared" si="3"/>
        <v>-145</v>
      </c>
      <c r="O10" s="445" t="s">
        <v>221</v>
      </c>
      <c r="P10" s="262">
        <v>1348</v>
      </c>
      <c r="Q10" s="262">
        <v>1348</v>
      </c>
      <c r="R10" s="264">
        <v>469</v>
      </c>
      <c r="S10" s="262">
        <v>338</v>
      </c>
      <c r="T10" s="262">
        <f t="shared" si="4"/>
        <v>-131</v>
      </c>
      <c r="U10" s="263" t="s">
        <v>190</v>
      </c>
      <c r="V10" s="262">
        <v>469</v>
      </c>
      <c r="W10" s="262">
        <v>260</v>
      </c>
      <c r="X10" s="262">
        <f t="shared" si="5"/>
        <v>-209</v>
      </c>
      <c r="Y10" s="263" t="s">
        <v>190</v>
      </c>
      <c r="Z10" s="442">
        <v>469</v>
      </c>
      <c r="AA10" s="442">
        <v>321</v>
      </c>
      <c r="AB10" s="442">
        <f t="shared" si="6"/>
        <v>-148</v>
      </c>
      <c r="AC10" s="445" t="s">
        <v>221</v>
      </c>
      <c r="AD10" s="262">
        <v>469</v>
      </c>
      <c r="AE10" s="262">
        <v>469</v>
      </c>
      <c r="AF10" s="264">
        <v>80</v>
      </c>
      <c r="AG10" s="262">
        <v>188</v>
      </c>
      <c r="AH10" s="262">
        <f t="shared" si="7"/>
        <v>108</v>
      </c>
      <c r="AI10" s="265"/>
      <c r="AJ10" s="262">
        <v>80</v>
      </c>
      <c r="AK10" s="262">
        <v>176</v>
      </c>
      <c r="AL10" s="262">
        <f t="shared" si="8"/>
        <v>96</v>
      </c>
      <c r="AM10" s="265"/>
      <c r="AN10" s="443">
        <v>80</v>
      </c>
      <c r="AO10" s="442">
        <v>120</v>
      </c>
      <c r="AP10" s="443">
        <f t="shared" si="9"/>
        <v>40</v>
      </c>
      <c r="AQ10" s="263" t="s">
        <v>218</v>
      </c>
      <c r="AR10" s="262">
        <v>80</v>
      </c>
      <c r="AS10" s="262">
        <v>80</v>
      </c>
      <c r="AT10" s="264">
        <v>200</v>
      </c>
      <c r="AU10" s="262">
        <v>391</v>
      </c>
      <c r="AV10" s="262">
        <f t="shared" si="10"/>
        <v>191</v>
      </c>
      <c r="AW10" s="263" t="s">
        <v>191</v>
      </c>
      <c r="AX10" s="262">
        <v>200</v>
      </c>
      <c r="AY10" s="262">
        <v>352</v>
      </c>
      <c r="AZ10" s="262">
        <f t="shared" si="11"/>
        <v>152</v>
      </c>
      <c r="BA10" s="263" t="s">
        <v>218</v>
      </c>
      <c r="BB10" s="442">
        <v>200</v>
      </c>
      <c r="BC10" s="442">
        <v>289</v>
      </c>
      <c r="BD10" s="442">
        <f t="shared" si="12"/>
        <v>89</v>
      </c>
      <c r="BE10" s="263" t="s">
        <v>218</v>
      </c>
      <c r="BF10" s="262">
        <v>200</v>
      </c>
      <c r="BG10" s="262">
        <v>200</v>
      </c>
      <c r="BH10" s="264">
        <v>80</v>
      </c>
      <c r="BI10" s="262">
        <v>175</v>
      </c>
      <c r="BJ10" s="262">
        <f t="shared" si="13"/>
        <v>95</v>
      </c>
      <c r="BK10" s="263" t="s">
        <v>192</v>
      </c>
      <c r="BL10" s="262">
        <v>80</v>
      </c>
      <c r="BM10" s="262">
        <v>164</v>
      </c>
      <c r="BN10" s="262">
        <f t="shared" si="14"/>
        <v>84</v>
      </c>
      <c r="BO10" s="263" t="s">
        <v>220</v>
      </c>
      <c r="BP10" s="442">
        <v>80</v>
      </c>
      <c r="BQ10" s="442">
        <v>131</v>
      </c>
      <c r="BR10" s="442">
        <f t="shared" si="16"/>
        <v>51</v>
      </c>
      <c r="BS10" s="263" t="s">
        <v>218</v>
      </c>
      <c r="BT10" s="268">
        <v>68</v>
      </c>
      <c r="BU10" s="269">
        <v>188</v>
      </c>
      <c r="BV10" s="264">
        <f t="shared" si="17"/>
        <v>120</v>
      </c>
      <c r="BW10" s="269"/>
      <c r="BX10" s="261">
        <v>68</v>
      </c>
      <c r="BY10" s="262">
        <v>176</v>
      </c>
      <c r="BZ10" s="264">
        <f t="shared" si="18"/>
        <v>108</v>
      </c>
      <c r="CA10" s="263" t="s">
        <v>220</v>
      </c>
      <c r="CB10" s="489">
        <v>68</v>
      </c>
      <c r="CC10" s="489">
        <v>120</v>
      </c>
      <c r="CD10" s="516">
        <f t="shared" si="20"/>
        <v>52</v>
      </c>
      <c r="CE10" s="263" t="s">
        <v>218</v>
      </c>
      <c r="CF10" s="91"/>
      <c r="CG10" s="2"/>
    </row>
    <row r="11" spans="1:85" s="100" customFormat="1" ht="68.25" customHeight="1" x14ac:dyDescent="0.2">
      <c r="A11" s="98" t="s">
        <v>58</v>
      </c>
      <c r="B11" s="270" t="s">
        <v>51</v>
      </c>
      <c r="C11" s="260" t="s">
        <v>4</v>
      </c>
      <c r="D11" s="271">
        <f>D12/D13*100</f>
        <v>4.6916890080428955</v>
      </c>
      <c r="E11" s="253">
        <v>4.3999999999999997E-2</v>
      </c>
      <c r="F11" s="253">
        <f t="shared" si="0"/>
        <v>-4.6476890080428959</v>
      </c>
      <c r="G11" s="272" t="s">
        <v>210</v>
      </c>
      <c r="H11" s="253">
        <f>H12/H13*100</f>
        <v>4.0214477211796247</v>
      </c>
      <c r="I11" s="253">
        <f>I12/I13*100</f>
        <v>0</v>
      </c>
      <c r="J11" s="253">
        <f t="shared" si="1"/>
        <v>-4.0214477211796247</v>
      </c>
      <c r="K11" s="272"/>
      <c r="L11" s="446">
        <v>3.3512064343163539</v>
      </c>
      <c r="M11" s="446">
        <v>0.1</v>
      </c>
      <c r="N11" s="446">
        <f t="shared" si="3"/>
        <v>-3.2512064343163538</v>
      </c>
      <c r="O11" s="447"/>
      <c r="P11" s="273">
        <f>P12/P13*100</f>
        <v>2.6809651474530831</v>
      </c>
      <c r="Q11" s="274">
        <f>Q12/Q13*100</f>
        <v>2.0107238605898123</v>
      </c>
      <c r="R11" s="273">
        <f>R12/R13*100</f>
        <v>1.5625</v>
      </c>
      <c r="S11" s="273">
        <v>2.5</v>
      </c>
      <c r="T11" s="253">
        <f t="shared" si="4"/>
        <v>0.9375</v>
      </c>
      <c r="U11" s="275"/>
      <c r="V11" s="253">
        <f>V12/V13*100</f>
        <v>1.0416666666666665</v>
      </c>
      <c r="W11" s="253">
        <f>W12/W13*100</f>
        <v>3.5087719298245612</v>
      </c>
      <c r="X11" s="253">
        <f t="shared" si="5"/>
        <v>2.4671052631578947</v>
      </c>
      <c r="Y11" s="275"/>
      <c r="Z11" s="446">
        <v>0.52083333333333326</v>
      </c>
      <c r="AA11" s="488">
        <v>14</v>
      </c>
      <c r="AB11" s="446">
        <f t="shared" si="6"/>
        <v>13.479166666666666</v>
      </c>
      <c r="AC11" s="473"/>
      <c r="AD11" s="273">
        <f>AD12/AD13*100</f>
        <v>0</v>
      </c>
      <c r="AE11" s="273">
        <f>AE12/AE13*100</f>
        <v>0</v>
      </c>
      <c r="AF11" s="273">
        <f>AF12/AF13*100</f>
        <v>0</v>
      </c>
      <c r="AG11" s="273">
        <v>0</v>
      </c>
      <c r="AH11" s="253">
        <f t="shared" si="7"/>
        <v>0</v>
      </c>
      <c r="AI11" s="276"/>
      <c r="AJ11" s="253">
        <f>AJ12/AJ13*100</f>
        <v>0</v>
      </c>
      <c r="AK11" s="253">
        <f>AK12/AK13*100</f>
        <v>0</v>
      </c>
      <c r="AL11" s="253">
        <f t="shared" si="8"/>
        <v>0</v>
      </c>
      <c r="AM11" s="276"/>
      <c r="AN11" s="440">
        <v>0</v>
      </c>
      <c r="AO11" s="488">
        <v>0</v>
      </c>
      <c r="AP11" s="440">
        <f t="shared" si="9"/>
        <v>0</v>
      </c>
      <c r="AQ11" s="275"/>
      <c r="AR11" s="273">
        <f>AR12/AR13*100</f>
        <v>0</v>
      </c>
      <c r="AS11" s="273">
        <f>AS12/AS13*100</f>
        <v>0</v>
      </c>
      <c r="AT11" s="273">
        <f>AT12/AT13*100</f>
        <v>0</v>
      </c>
      <c r="AU11" s="273">
        <v>1.24</v>
      </c>
      <c r="AV11" s="253">
        <f t="shared" si="10"/>
        <v>1.24</v>
      </c>
      <c r="AW11" s="275"/>
      <c r="AX11" s="253">
        <f>AX12/AX13*100</f>
        <v>0</v>
      </c>
      <c r="AY11" s="253">
        <f>AY12/AY13*100</f>
        <v>0</v>
      </c>
      <c r="AZ11" s="253">
        <f t="shared" si="11"/>
        <v>0</v>
      </c>
      <c r="BA11" s="275"/>
      <c r="BB11" s="446">
        <v>0</v>
      </c>
      <c r="BC11" s="488">
        <v>2.4</v>
      </c>
      <c r="BD11" s="446">
        <f t="shared" si="12"/>
        <v>2.4</v>
      </c>
      <c r="BE11" s="275"/>
      <c r="BF11" s="273">
        <f>BF12/BF13*100</f>
        <v>0</v>
      </c>
      <c r="BG11" s="273">
        <f>BG12/BG13*100</f>
        <v>0</v>
      </c>
      <c r="BH11" s="273">
        <f>BH12/BH13*100</f>
        <v>0</v>
      </c>
      <c r="BI11" s="273">
        <v>0</v>
      </c>
      <c r="BJ11" s="253">
        <f t="shared" si="13"/>
        <v>0</v>
      </c>
      <c r="BK11" s="275"/>
      <c r="BL11" s="253">
        <f>BL12/BL13*100</f>
        <v>0</v>
      </c>
      <c r="BM11" s="253">
        <f>BM12/BM13*100</f>
        <v>0.28409090909090912</v>
      </c>
      <c r="BN11" s="253">
        <f t="shared" si="14"/>
        <v>0.28409090909090912</v>
      </c>
      <c r="BO11" s="275"/>
      <c r="BP11" s="446">
        <f t="shared" ref="BP11" si="21">BP12/BP13*100</f>
        <v>0</v>
      </c>
      <c r="BQ11" s="488">
        <v>11.4</v>
      </c>
      <c r="BR11" s="446">
        <f t="shared" si="16"/>
        <v>11.4</v>
      </c>
      <c r="BS11" s="275"/>
      <c r="BT11" s="271">
        <f>BT12/BT13*100</f>
        <v>0</v>
      </c>
      <c r="BU11" s="273">
        <v>0</v>
      </c>
      <c r="BV11" s="253">
        <f t="shared" si="17"/>
        <v>0</v>
      </c>
      <c r="BW11" s="274"/>
      <c r="BX11" s="271">
        <f>BX12/BX13*100</f>
        <v>0</v>
      </c>
      <c r="BY11" s="253">
        <f>BY12/BY13*100</f>
        <v>0</v>
      </c>
      <c r="BZ11" s="273">
        <f t="shared" si="18"/>
        <v>0</v>
      </c>
      <c r="CA11" s="275"/>
      <c r="CB11" s="488">
        <f t="shared" ref="CB11" si="22">CB12/CB13*100</f>
        <v>0</v>
      </c>
      <c r="CC11" s="488">
        <v>0</v>
      </c>
      <c r="CD11" s="518">
        <f t="shared" si="20"/>
        <v>0</v>
      </c>
      <c r="CE11" s="275"/>
      <c r="CF11" s="99"/>
    </row>
    <row r="12" spans="1:85" ht="68.25" customHeight="1" x14ac:dyDescent="0.2">
      <c r="A12" s="97" t="s">
        <v>32</v>
      </c>
      <c r="B12" s="259" t="s">
        <v>232</v>
      </c>
      <c r="C12" s="260" t="s">
        <v>54</v>
      </c>
      <c r="D12" s="261">
        <v>35</v>
      </c>
      <c r="E12" s="262">
        <v>1</v>
      </c>
      <c r="F12" s="262">
        <f t="shared" si="0"/>
        <v>-34</v>
      </c>
      <c r="G12" s="263"/>
      <c r="H12" s="262">
        <v>30</v>
      </c>
      <c r="I12" s="262">
        <v>0</v>
      </c>
      <c r="J12" s="262">
        <f t="shared" si="1"/>
        <v>-30</v>
      </c>
      <c r="K12" s="263"/>
      <c r="L12" s="448">
        <v>25</v>
      </c>
      <c r="M12" s="448">
        <v>2</v>
      </c>
      <c r="N12" s="442">
        <f t="shared" si="3"/>
        <v>-23</v>
      </c>
      <c r="O12" s="452"/>
      <c r="P12" s="264">
        <v>20</v>
      </c>
      <c r="Q12" s="264">
        <v>15</v>
      </c>
      <c r="R12" s="264">
        <v>3</v>
      </c>
      <c r="S12" s="264">
        <v>14</v>
      </c>
      <c r="T12" s="262">
        <f t="shared" si="4"/>
        <v>11</v>
      </c>
      <c r="U12" s="263" t="s">
        <v>188</v>
      </c>
      <c r="V12" s="262">
        <v>2</v>
      </c>
      <c r="W12" s="262">
        <v>12</v>
      </c>
      <c r="X12" s="262">
        <f t="shared" si="5"/>
        <v>10</v>
      </c>
      <c r="Y12" s="263" t="s">
        <v>188</v>
      </c>
      <c r="Z12" s="442">
        <v>1</v>
      </c>
      <c r="AA12" s="489">
        <v>66</v>
      </c>
      <c r="AB12" s="442">
        <f t="shared" si="6"/>
        <v>65</v>
      </c>
      <c r="AC12" s="444"/>
      <c r="AD12" s="264">
        <v>0</v>
      </c>
      <c r="AE12" s="264">
        <v>0</v>
      </c>
      <c r="AF12" s="264">
        <v>0</v>
      </c>
      <c r="AG12" s="264">
        <v>0</v>
      </c>
      <c r="AH12" s="262">
        <f t="shared" si="7"/>
        <v>0</v>
      </c>
      <c r="AI12" s="277"/>
      <c r="AJ12" s="262">
        <v>0</v>
      </c>
      <c r="AK12" s="262">
        <v>0</v>
      </c>
      <c r="AL12" s="262">
        <f t="shared" si="8"/>
        <v>0</v>
      </c>
      <c r="AM12" s="277"/>
      <c r="AN12" s="443">
        <v>0</v>
      </c>
      <c r="AO12" s="489">
        <v>0</v>
      </c>
      <c r="AP12" s="443">
        <f t="shared" si="9"/>
        <v>0</v>
      </c>
      <c r="AQ12" s="263"/>
      <c r="AR12" s="264">
        <v>0</v>
      </c>
      <c r="AS12" s="264">
        <v>0</v>
      </c>
      <c r="AT12" s="264">
        <v>0</v>
      </c>
      <c r="AU12" s="264">
        <v>6</v>
      </c>
      <c r="AV12" s="262">
        <f t="shared" si="10"/>
        <v>6</v>
      </c>
      <c r="AW12" s="263" t="s">
        <v>189</v>
      </c>
      <c r="AX12" s="262">
        <v>0</v>
      </c>
      <c r="AY12" s="262">
        <v>0</v>
      </c>
      <c r="AZ12" s="262">
        <f t="shared" si="11"/>
        <v>0</v>
      </c>
      <c r="BA12" s="263"/>
      <c r="BB12" s="442">
        <v>0</v>
      </c>
      <c r="BC12" s="489">
        <v>8</v>
      </c>
      <c r="BD12" s="442">
        <f t="shared" si="12"/>
        <v>8</v>
      </c>
      <c r="BE12" s="263"/>
      <c r="BF12" s="264">
        <v>0</v>
      </c>
      <c r="BG12" s="264">
        <v>0</v>
      </c>
      <c r="BH12" s="264">
        <v>0</v>
      </c>
      <c r="BI12" s="264">
        <v>0</v>
      </c>
      <c r="BJ12" s="262">
        <f t="shared" si="13"/>
        <v>0</v>
      </c>
      <c r="BK12" s="267"/>
      <c r="BL12" s="262">
        <f>BH12</f>
        <v>0</v>
      </c>
      <c r="BM12" s="262">
        <v>1</v>
      </c>
      <c r="BN12" s="262">
        <f t="shared" si="14"/>
        <v>1</v>
      </c>
      <c r="BO12" s="267"/>
      <c r="BP12" s="442">
        <f>BH12</f>
        <v>0</v>
      </c>
      <c r="BQ12" s="489">
        <v>31</v>
      </c>
      <c r="BR12" s="442">
        <f t="shared" si="16"/>
        <v>31</v>
      </c>
      <c r="BS12" s="263"/>
      <c r="BT12" s="261">
        <v>0</v>
      </c>
      <c r="BU12" s="264">
        <v>0</v>
      </c>
      <c r="BV12" s="262">
        <f t="shared" si="17"/>
        <v>0</v>
      </c>
      <c r="BW12" s="269"/>
      <c r="BX12" s="261">
        <f>BT12</f>
        <v>0</v>
      </c>
      <c r="BY12" s="262">
        <v>0</v>
      </c>
      <c r="BZ12" s="264">
        <f t="shared" si="18"/>
        <v>0</v>
      </c>
      <c r="CA12" s="267"/>
      <c r="CB12" s="489">
        <f>BT12</f>
        <v>0</v>
      </c>
      <c r="CC12" s="489">
        <v>0</v>
      </c>
      <c r="CD12" s="516">
        <f t="shared" si="20"/>
        <v>0</v>
      </c>
      <c r="CE12" s="263"/>
      <c r="CF12" s="91"/>
      <c r="CG12" s="2"/>
    </row>
    <row r="13" spans="1:85" ht="53.25" customHeight="1" x14ac:dyDescent="0.2">
      <c r="A13" s="101" t="s">
        <v>56</v>
      </c>
      <c r="B13" s="278" t="s">
        <v>53</v>
      </c>
      <c r="C13" s="279" t="s">
        <v>54</v>
      </c>
      <c r="D13" s="280">
        <v>746</v>
      </c>
      <c r="E13" s="281">
        <v>2247</v>
      </c>
      <c r="F13" s="281">
        <f t="shared" si="0"/>
        <v>1501</v>
      </c>
      <c r="G13" s="263" t="s">
        <v>211</v>
      </c>
      <c r="H13" s="262">
        <f>D13</f>
        <v>746</v>
      </c>
      <c r="I13" s="281">
        <v>1894</v>
      </c>
      <c r="J13" s="281">
        <f t="shared" si="1"/>
        <v>1148</v>
      </c>
      <c r="K13" s="263" t="s">
        <v>217</v>
      </c>
      <c r="L13" s="448">
        <f>D13</f>
        <v>746</v>
      </c>
      <c r="M13" s="453">
        <v>1507</v>
      </c>
      <c r="N13" s="453">
        <f t="shared" si="3"/>
        <v>761</v>
      </c>
      <c r="O13" s="449" t="s">
        <v>217</v>
      </c>
      <c r="P13" s="264">
        <f>D13</f>
        <v>746</v>
      </c>
      <c r="Q13" s="264">
        <f>D13</f>
        <v>746</v>
      </c>
      <c r="R13" s="282">
        <v>192</v>
      </c>
      <c r="S13" s="282">
        <v>564</v>
      </c>
      <c r="T13" s="282">
        <f t="shared" si="4"/>
        <v>372</v>
      </c>
      <c r="U13" s="283" t="s">
        <v>213</v>
      </c>
      <c r="V13" s="262">
        <f>R13</f>
        <v>192</v>
      </c>
      <c r="W13" s="281">
        <v>342</v>
      </c>
      <c r="X13" s="282">
        <f t="shared" si="5"/>
        <v>150</v>
      </c>
      <c r="Y13" s="263" t="s">
        <v>217</v>
      </c>
      <c r="Z13" s="442">
        <v>192</v>
      </c>
      <c r="AA13" s="490">
        <v>471</v>
      </c>
      <c r="AB13" s="490">
        <f t="shared" si="6"/>
        <v>279</v>
      </c>
      <c r="AC13" s="475"/>
      <c r="AD13" s="264">
        <f>R13</f>
        <v>192</v>
      </c>
      <c r="AE13" s="264">
        <f>R13</f>
        <v>192</v>
      </c>
      <c r="AF13" s="284">
        <v>48</v>
      </c>
      <c r="AG13" s="284">
        <v>216</v>
      </c>
      <c r="AH13" s="284">
        <f t="shared" si="7"/>
        <v>168</v>
      </c>
      <c r="AI13" s="285"/>
      <c r="AJ13" s="262">
        <f>AF13</f>
        <v>48</v>
      </c>
      <c r="AK13" s="281">
        <v>192</v>
      </c>
      <c r="AL13" s="284">
        <f t="shared" si="8"/>
        <v>144</v>
      </c>
      <c r="AM13" s="285"/>
      <c r="AN13" s="443">
        <v>48</v>
      </c>
      <c r="AO13" s="499">
        <v>192</v>
      </c>
      <c r="AP13" s="492">
        <f t="shared" si="9"/>
        <v>144</v>
      </c>
      <c r="AQ13" s="263" t="s">
        <v>219</v>
      </c>
      <c r="AR13" s="264">
        <f>AF13</f>
        <v>48</v>
      </c>
      <c r="AS13" s="264">
        <f>AF13</f>
        <v>48</v>
      </c>
      <c r="AT13" s="284">
        <v>72</v>
      </c>
      <c r="AU13" s="284">
        <v>482</v>
      </c>
      <c r="AV13" s="284">
        <f t="shared" si="10"/>
        <v>410</v>
      </c>
      <c r="AW13" s="263" t="s">
        <v>191</v>
      </c>
      <c r="AX13" s="281">
        <f>AT13</f>
        <v>72</v>
      </c>
      <c r="AY13" s="281">
        <v>384</v>
      </c>
      <c r="AZ13" s="284">
        <f t="shared" si="11"/>
        <v>312</v>
      </c>
      <c r="BA13" s="263" t="s">
        <v>219</v>
      </c>
      <c r="BB13" s="500">
        <v>72</v>
      </c>
      <c r="BC13" s="499">
        <v>339</v>
      </c>
      <c r="BD13" s="499">
        <f t="shared" si="12"/>
        <v>267</v>
      </c>
      <c r="BE13" s="263" t="s">
        <v>219</v>
      </c>
      <c r="BF13" s="284">
        <f>AT13</f>
        <v>72</v>
      </c>
      <c r="BG13" s="284">
        <f>AT13</f>
        <v>72</v>
      </c>
      <c r="BH13" s="284">
        <v>72</v>
      </c>
      <c r="BI13" s="284">
        <v>396</v>
      </c>
      <c r="BJ13" s="284">
        <f t="shared" si="13"/>
        <v>324</v>
      </c>
      <c r="BK13" s="263" t="s">
        <v>192</v>
      </c>
      <c r="BL13" s="281">
        <f>BH13</f>
        <v>72</v>
      </c>
      <c r="BM13" s="281">
        <v>352</v>
      </c>
      <c r="BN13" s="282">
        <f t="shared" si="14"/>
        <v>280</v>
      </c>
      <c r="BO13" s="263" t="s">
        <v>220</v>
      </c>
      <c r="BP13" s="500">
        <f>BH13</f>
        <v>72</v>
      </c>
      <c r="BQ13" s="490">
        <v>273</v>
      </c>
      <c r="BR13" s="490">
        <f t="shared" si="16"/>
        <v>201</v>
      </c>
      <c r="BS13" s="263" t="s">
        <v>219</v>
      </c>
      <c r="BT13" s="286">
        <v>72</v>
      </c>
      <c r="BU13" s="282">
        <v>324</v>
      </c>
      <c r="BV13" s="282">
        <f t="shared" si="17"/>
        <v>252</v>
      </c>
      <c r="BW13" s="526"/>
      <c r="BX13" s="286">
        <f>BT13</f>
        <v>72</v>
      </c>
      <c r="BY13" s="281">
        <v>288</v>
      </c>
      <c r="BZ13" s="282">
        <f t="shared" si="18"/>
        <v>216</v>
      </c>
      <c r="CA13" s="263" t="s">
        <v>220</v>
      </c>
      <c r="CB13" s="490">
        <f>BT13</f>
        <v>72</v>
      </c>
      <c r="CC13" s="490">
        <v>197</v>
      </c>
      <c r="CD13" s="474">
        <f t="shared" si="20"/>
        <v>125</v>
      </c>
      <c r="CE13" s="263" t="s">
        <v>219</v>
      </c>
      <c r="CF13" s="91"/>
      <c r="CG13" s="2"/>
    </row>
    <row r="14" spans="1:85" ht="17.25" customHeight="1" x14ac:dyDescent="0.2">
      <c r="A14" s="96" t="s">
        <v>59</v>
      </c>
      <c r="B14" s="660" t="s">
        <v>37</v>
      </c>
      <c r="C14" s="661"/>
      <c r="D14" s="661"/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/>
      <c r="AE14" s="661"/>
      <c r="AF14" s="661"/>
      <c r="AG14" s="661"/>
      <c r="AH14" s="661"/>
      <c r="AI14" s="661"/>
      <c r="AJ14" s="661"/>
      <c r="AK14" s="661"/>
      <c r="AL14" s="661"/>
      <c r="AM14" s="661"/>
      <c r="AN14" s="661"/>
      <c r="AO14" s="661"/>
      <c r="AP14" s="661"/>
      <c r="AQ14" s="661"/>
      <c r="AR14" s="661"/>
      <c r="AS14" s="661"/>
      <c r="AT14" s="661"/>
      <c r="AU14" s="661"/>
      <c r="AV14" s="661"/>
      <c r="AW14" s="661"/>
      <c r="AX14" s="661"/>
      <c r="AY14" s="661"/>
      <c r="AZ14" s="661"/>
      <c r="BA14" s="661"/>
      <c r="BB14" s="661"/>
      <c r="BC14" s="661"/>
      <c r="BD14" s="661"/>
      <c r="BE14" s="661"/>
      <c r="BF14" s="661"/>
      <c r="BG14" s="661"/>
      <c r="BH14" s="661"/>
      <c r="BI14" s="661"/>
      <c r="BJ14" s="661"/>
      <c r="BK14" s="661"/>
      <c r="BL14" s="661"/>
      <c r="BM14" s="661"/>
      <c r="BN14" s="661"/>
      <c r="BO14" s="661"/>
      <c r="BP14" s="661"/>
      <c r="BQ14" s="661"/>
      <c r="BR14" s="661"/>
      <c r="BS14" s="661"/>
      <c r="BT14" s="661"/>
      <c r="BU14" s="661"/>
      <c r="BV14" s="661"/>
      <c r="BW14" s="661"/>
      <c r="BX14" s="661"/>
      <c r="BY14" s="661"/>
      <c r="BZ14" s="661"/>
      <c r="CA14" s="661"/>
      <c r="CB14" s="661"/>
      <c r="CC14" s="661"/>
      <c r="CD14" s="661"/>
      <c r="CE14" s="662"/>
      <c r="CF14" s="91"/>
      <c r="CG14" s="2"/>
    </row>
    <row r="15" spans="1:85" ht="33.75" customHeight="1" x14ac:dyDescent="0.2">
      <c r="A15" s="102">
        <v>1</v>
      </c>
      <c r="B15" s="287" t="s">
        <v>181</v>
      </c>
      <c r="C15" s="288" t="s">
        <v>35</v>
      </c>
      <c r="D15" s="289">
        <f>D16/D17*100</f>
        <v>0</v>
      </c>
      <c r="E15" s="290">
        <v>0</v>
      </c>
      <c r="F15" s="290">
        <f>E15-D15</f>
        <v>0</v>
      </c>
      <c r="G15" s="291"/>
      <c r="H15" s="290">
        <f>H16/H17</f>
        <v>0</v>
      </c>
      <c r="I15" s="290">
        <v>0</v>
      </c>
      <c r="J15" s="290">
        <f>I15-H15</f>
        <v>0</v>
      </c>
      <c r="K15" s="291"/>
      <c r="L15" s="454">
        <f t="shared" ref="L15" si="23">L16/L17</f>
        <v>0</v>
      </c>
      <c r="M15" s="454">
        <v>0</v>
      </c>
      <c r="N15" s="454">
        <f>M15-L15</f>
        <v>0</v>
      </c>
      <c r="O15" s="292"/>
      <c r="P15" s="292">
        <f>P16/P17</f>
        <v>0</v>
      </c>
      <c r="Q15" s="294">
        <f>Q16/Q17</f>
        <v>0</v>
      </c>
      <c r="R15" s="289">
        <f>R16/R17</f>
        <v>0</v>
      </c>
      <c r="S15" s="292">
        <v>0</v>
      </c>
      <c r="T15" s="290">
        <f>S15-R15</f>
        <v>0</v>
      </c>
      <c r="U15" s="293"/>
      <c r="V15" s="290">
        <f>V16/V17</f>
        <v>0</v>
      </c>
      <c r="W15" s="292">
        <v>0</v>
      </c>
      <c r="X15" s="290">
        <f>W15-V15</f>
        <v>0</v>
      </c>
      <c r="Y15" s="293"/>
      <c r="Z15" s="454">
        <f t="shared" ref="Z15" si="24">Z16/Z17</f>
        <v>0</v>
      </c>
      <c r="AA15" s="482">
        <v>0</v>
      </c>
      <c r="AB15" s="454">
        <f>AA15-Z15</f>
        <v>0</v>
      </c>
      <c r="AC15" s="292"/>
      <c r="AD15" s="292">
        <f>AD16/AD17</f>
        <v>0</v>
      </c>
      <c r="AE15" s="294">
        <f>AE16/AE17</f>
        <v>0</v>
      </c>
      <c r="AF15" s="289">
        <f>AF16/AF17</f>
        <v>0</v>
      </c>
      <c r="AG15" s="292">
        <v>0</v>
      </c>
      <c r="AH15" s="290">
        <f>AG15-AF15</f>
        <v>0</v>
      </c>
      <c r="AI15" s="293"/>
      <c r="AJ15" s="290">
        <f>AJ16/AJ17</f>
        <v>0</v>
      </c>
      <c r="AK15" s="482">
        <v>0</v>
      </c>
      <c r="AL15" s="290">
        <f>AK15-AJ15</f>
        <v>0</v>
      </c>
      <c r="AM15" s="293"/>
      <c r="AN15" s="454">
        <f t="shared" ref="AN15" si="25">AN16/AN17</f>
        <v>0</v>
      </c>
      <c r="AO15" s="482">
        <v>0</v>
      </c>
      <c r="AP15" s="454">
        <f>AO15-AN15</f>
        <v>0</v>
      </c>
      <c r="AQ15" s="520"/>
      <c r="AR15" s="292">
        <f>AR16/AR17</f>
        <v>0</v>
      </c>
      <c r="AS15" s="292">
        <f>AS16/AS17</f>
        <v>0</v>
      </c>
      <c r="AT15" s="292">
        <f>AT16/AT17</f>
        <v>0</v>
      </c>
      <c r="AU15" s="292">
        <v>0</v>
      </c>
      <c r="AV15" s="290">
        <f>AU15-AT15</f>
        <v>0</v>
      </c>
      <c r="AW15" s="293"/>
      <c r="AX15" s="290">
        <f>AX16/AX17</f>
        <v>0</v>
      </c>
      <c r="AY15" s="292"/>
      <c r="AZ15" s="290">
        <f>AY15-AX15</f>
        <v>0</v>
      </c>
      <c r="BA15" s="293"/>
      <c r="BB15" s="454">
        <f t="shared" ref="BB15" si="26">BB16/BB17</f>
        <v>0</v>
      </c>
      <c r="BC15" s="482">
        <v>0</v>
      </c>
      <c r="BD15" s="454">
        <f>BC15-BB15</f>
        <v>0</v>
      </c>
      <c r="BE15" s="292"/>
      <c r="BF15" s="292">
        <f>BF16/BF17</f>
        <v>0</v>
      </c>
      <c r="BG15" s="294">
        <f>BG16/BG17</f>
        <v>0</v>
      </c>
      <c r="BH15" s="289">
        <f>BH16/BH17</f>
        <v>0</v>
      </c>
      <c r="BI15" s="292">
        <v>0</v>
      </c>
      <c r="BJ15" s="290">
        <f>BI15-BH15</f>
        <v>0</v>
      </c>
      <c r="BK15" s="293"/>
      <c r="BL15" s="290">
        <f>BL16/BL17</f>
        <v>0</v>
      </c>
      <c r="BM15" s="292">
        <v>0</v>
      </c>
      <c r="BN15" s="290">
        <f>BM15-BL15</f>
        <v>0</v>
      </c>
      <c r="BO15" s="293"/>
      <c r="BP15" s="454">
        <f t="shared" ref="BP15" si="27">BP16/BP17</f>
        <v>0</v>
      </c>
      <c r="BQ15" s="482">
        <v>0</v>
      </c>
      <c r="BR15" s="454">
        <f>BQ15-BP15</f>
        <v>0</v>
      </c>
      <c r="BS15" s="504"/>
      <c r="BT15" s="289">
        <f>BT16/BT17</f>
        <v>0</v>
      </c>
      <c r="BU15" s="292">
        <v>0</v>
      </c>
      <c r="BV15" s="290">
        <f>BU15-BT15</f>
        <v>0</v>
      </c>
      <c r="BW15" s="294"/>
      <c r="BX15" s="289">
        <f>BX16/BX17</f>
        <v>0</v>
      </c>
      <c r="BY15" s="292">
        <v>0</v>
      </c>
      <c r="BZ15" s="290">
        <f>BY15-BX15</f>
        <v>0</v>
      </c>
      <c r="CA15" s="293"/>
      <c r="CB15" s="482">
        <f t="shared" ref="CB15" si="28">CB16/CB17</f>
        <v>0</v>
      </c>
      <c r="CC15" s="482">
        <v>0</v>
      </c>
      <c r="CD15" s="454">
        <f>CC15-CB15</f>
        <v>0</v>
      </c>
      <c r="CE15" s="293"/>
      <c r="CF15" s="91"/>
      <c r="CG15" s="2"/>
    </row>
    <row r="16" spans="1:85" ht="175.5" customHeight="1" x14ac:dyDescent="0.2">
      <c r="A16" s="103" t="s">
        <v>30</v>
      </c>
      <c r="B16" s="259" t="s">
        <v>182</v>
      </c>
      <c r="C16" s="250" t="s">
        <v>54</v>
      </c>
      <c r="D16" s="295">
        <v>0</v>
      </c>
      <c r="E16" s="296">
        <v>0</v>
      </c>
      <c r="F16" s="296">
        <f>E16-D16</f>
        <v>0</v>
      </c>
      <c r="G16" s="297"/>
      <c r="H16" s="296">
        <v>0</v>
      </c>
      <c r="I16" s="296">
        <v>0</v>
      </c>
      <c r="J16" s="296">
        <f>I16-H16</f>
        <v>0</v>
      </c>
      <c r="K16" s="297"/>
      <c r="L16" s="455">
        <v>0</v>
      </c>
      <c r="M16" s="455">
        <v>0</v>
      </c>
      <c r="N16" s="455">
        <f>M16-L16</f>
        <v>0</v>
      </c>
      <c r="O16" s="298"/>
      <c r="P16" s="298">
        <v>0</v>
      </c>
      <c r="Q16" s="303">
        <v>0</v>
      </c>
      <c r="R16" s="304">
        <v>0</v>
      </c>
      <c r="S16" s="299">
        <v>0</v>
      </c>
      <c r="T16" s="296">
        <f>S16-R16</f>
        <v>0</v>
      </c>
      <c r="U16" s="300"/>
      <c r="V16" s="301">
        <v>0</v>
      </c>
      <c r="W16" s="299">
        <v>0</v>
      </c>
      <c r="X16" s="296">
        <f>W16-V16</f>
        <v>0</v>
      </c>
      <c r="Y16" s="300"/>
      <c r="Z16" s="483">
        <v>0</v>
      </c>
      <c r="AA16" s="484">
        <v>0</v>
      </c>
      <c r="AB16" s="455">
        <f>AA16-Z16</f>
        <v>0</v>
      </c>
      <c r="AC16" s="299"/>
      <c r="AD16" s="264">
        <v>0</v>
      </c>
      <c r="AE16" s="515">
        <v>0</v>
      </c>
      <c r="AF16" s="295">
        <v>0</v>
      </c>
      <c r="AG16" s="298">
        <v>0</v>
      </c>
      <c r="AH16" s="296">
        <f>AG16-AF16</f>
        <v>0</v>
      </c>
      <c r="AI16" s="302"/>
      <c r="AJ16" s="296">
        <v>0</v>
      </c>
      <c r="AK16" s="498">
        <v>0</v>
      </c>
      <c r="AL16" s="296">
        <f>AK16-AJ16</f>
        <v>0</v>
      </c>
      <c r="AM16" s="302"/>
      <c r="AN16" s="455">
        <v>0</v>
      </c>
      <c r="AO16" s="498">
        <v>0</v>
      </c>
      <c r="AP16" s="455">
        <f>AO16-AN16</f>
        <v>0</v>
      </c>
      <c r="AQ16" s="521"/>
      <c r="AR16" s="298">
        <v>0</v>
      </c>
      <c r="AS16" s="298">
        <v>0</v>
      </c>
      <c r="AT16" s="298">
        <v>0</v>
      </c>
      <c r="AU16" s="298">
        <v>0</v>
      </c>
      <c r="AV16" s="296">
        <f>AU16-AT16</f>
        <v>0</v>
      </c>
      <c r="AW16" s="302"/>
      <c r="AX16" s="296">
        <v>0</v>
      </c>
      <c r="AY16" s="298"/>
      <c r="AZ16" s="296">
        <f>AY16-AX16</f>
        <v>0</v>
      </c>
      <c r="BA16" s="302"/>
      <c r="BB16" s="455">
        <v>0</v>
      </c>
      <c r="BC16" s="498">
        <v>0</v>
      </c>
      <c r="BD16" s="455">
        <f>BC16-BB16</f>
        <v>0</v>
      </c>
      <c r="BE16" s="298"/>
      <c r="BF16" s="298">
        <v>0</v>
      </c>
      <c r="BG16" s="303">
        <v>0</v>
      </c>
      <c r="BH16" s="295">
        <v>0</v>
      </c>
      <c r="BI16" s="298">
        <v>0</v>
      </c>
      <c r="BJ16" s="296">
        <f>BI16-BH16</f>
        <v>0</v>
      </c>
      <c r="BK16" s="302"/>
      <c r="BL16" s="296">
        <v>0</v>
      </c>
      <c r="BM16" s="298">
        <v>0</v>
      </c>
      <c r="BN16" s="296">
        <f>BM16-BL16</f>
        <v>0</v>
      </c>
      <c r="BO16" s="300"/>
      <c r="BP16" s="455">
        <v>0</v>
      </c>
      <c r="BQ16" s="484">
        <v>0</v>
      </c>
      <c r="BR16" s="455">
        <f>BQ16-BP16</f>
        <v>0</v>
      </c>
      <c r="BS16" s="505"/>
      <c r="BT16" s="304">
        <v>0</v>
      </c>
      <c r="BU16" s="299">
        <v>0</v>
      </c>
      <c r="BV16" s="296">
        <f>BU16-BT16</f>
        <v>0</v>
      </c>
      <c r="BW16" s="515"/>
      <c r="BX16" s="304">
        <v>0</v>
      </c>
      <c r="BY16" s="299">
        <v>0</v>
      </c>
      <c r="BZ16" s="296">
        <f>BY16-BX16</f>
        <v>0</v>
      </c>
      <c r="CA16" s="300"/>
      <c r="CB16" s="484">
        <v>0</v>
      </c>
      <c r="CC16" s="484">
        <v>0</v>
      </c>
      <c r="CD16" s="455">
        <f>CC16-CB16</f>
        <v>0</v>
      </c>
      <c r="CE16" s="300"/>
      <c r="CF16" s="91"/>
      <c r="CG16" s="2"/>
    </row>
    <row r="17" spans="1:87" ht="31.5" x14ac:dyDescent="0.2">
      <c r="A17" s="104" t="s">
        <v>31</v>
      </c>
      <c r="B17" s="305" t="s">
        <v>60</v>
      </c>
      <c r="C17" s="306" t="s">
        <v>61</v>
      </c>
      <c r="D17" s="307">
        <v>23.4</v>
      </c>
      <c r="E17" s="308">
        <f>3.135+0.7+16.554</f>
        <v>20.388999999999999</v>
      </c>
      <c r="F17" s="308">
        <f>E17-D17</f>
        <v>-3.0109999999999992</v>
      </c>
      <c r="G17" s="309" t="s">
        <v>193</v>
      </c>
      <c r="H17" s="310">
        <f>D17</f>
        <v>23.4</v>
      </c>
      <c r="I17" s="308">
        <f>3.135+0.7+16.554</f>
        <v>20.388999999999999</v>
      </c>
      <c r="J17" s="308">
        <f>I17-H17</f>
        <v>-3.0109999999999992</v>
      </c>
      <c r="K17" s="309"/>
      <c r="L17" s="456">
        <f>D17</f>
        <v>23.4</v>
      </c>
      <c r="M17" s="457">
        <v>20.388999999999999</v>
      </c>
      <c r="N17" s="457">
        <f>M17-L17</f>
        <v>-3.0109999999999992</v>
      </c>
      <c r="O17" s="311"/>
      <c r="P17" s="311">
        <f>D17</f>
        <v>23.4</v>
      </c>
      <c r="Q17" s="340">
        <f>D17</f>
        <v>23.4</v>
      </c>
      <c r="R17" s="307">
        <v>6.32</v>
      </c>
      <c r="S17" s="312">
        <f>0.574+5.208</f>
        <v>5.782</v>
      </c>
      <c r="T17" s="308">
        <f>S17-R17</f>
        <v>-0.53800000000000026</v>
      </c>
      <c r="U17" s="309" t="s">
        <v>193</v>
      </c>
      <c r="V17" s="308">
        <f>R17</f>
        <v>6.32</v>
      </c>
      <c r="W17" s="312">
        <f>0.574+5.208</f>
        <v>5.782</v>
      </c>
      <c r="X17" s="308">
        <f>W17-V17</f>
        <v>-0.53800000000000026</v>
      </c>
      <c r="Y17" s="309"/>
      <c r="Z17" s="485">
        <f>R17</f>
        <v>6.32</v>
      </c>
      <c r="AA17" s="486">
        <v>5.782</v>
      </c>
      <c r="AB17" s="457">
        <f>AA17-Z17</f>
        <v>-0.53800000000000026</v>
      </c>
      <c r="AC17" s="311"/>
      <c r="AD17" s="311">
        <f>R17</f>
        <v>6.32</v>
      </c>
      <c r="AE17" s="340">
        <f>R17</f>
        <v>6.32</v>
      </c>
      <c r="AF17" s="307">
        <v>2.39</v>
      </c>
      <c r="AG17" s="312">
        <v>2.395</v>
      </c>
      <c r="AH17" s="308">
        <f>AG17-AF17</f>
        <v>4.9999999999998934E-3</v>
      </c>
      <c r="AI17" s="313" t="s">
        <v>193</v>
      </c>
      <c r="AJ17" s="308">
        <f>AF17</f>
        <v>2.39</v>
      </c>
      <c r="AK17" s="486">
        <v>2.395</v>
      </c>
      <c r="AL17" s="308">
        <f>AK17-AJ17</f>
        <v>4.9999999999998934E-3</v>
      </c>
      <c r="AM17" s="313"/>
      <c r="AN17" s="457">
        <f>AF17</f>
        <v>2.39</v>
      </c>
      <c r="AO17" s="486">
        <v>2.395</v>
      </c>
      <c r="AP17" s="457">
        <f>AO17-AN17</f>
        <v>4.9999999999998934E-3</v>
      </c>
      <c r="AQ17" s="522"/>
      <c r="AR17" s="312">
        <f>AF17</f>
        <v>2.39</v>
      </c>
      <c r="AS17" s="312">
        <f>AF17</f>
        <v>2.39</v>
      </c>
      <c r="AT17" s="312">
        <v>6.01</v>
      </c>
      <c r="AU17" s="314">
        <f>0.943+4.764</f>
        <v>5.7069999999999999</v>
      </c>
      <c r="AV17" s="308">
        <f>AU17-AT17</f>
        <v>-0.30299999999999994</v>
      </c>
      <c r="AW17" s="309" t="s">
        <v>193</v>
      </c>
      <c r="AX17" s="315">
        <f>AT17</f>
        <v>6.01</v>
      </c>
      <c r="AY17" s="314"/>
      <c r="AZ17" s="308">
        <f>AY17-AX17</f>
        <v>-6.01</v>
      </c>
      <c r="BA17" s="309"/>
      <c r="BB17" s="501">
        <f>AT17</f>
        <v>6.01</v>
      </c>
      <c r="BC17" s="502">
        <v>5.7069999999999999</v>
      </c>
      <c r="BD17" s="457">
        <f>BC17-BB17</f>
        <v>-0.30299999999999994</v>
      </c>
      <c r="BE17" s="314"/>
      <c r="BF17" s="314">
        <f>AT17</f>
        <v>6.01</v>
      </c>
      <c r="BG17" s="317">
        <f>AT17</f>
        <v>6.01</v>
      </c>
      <c r="BH17" s="307">
        <v>3.39</v>
      </c>
      <c r="BI17" s="314">
        <f>1.22+2.171-0.001</f>
        <v>3.39</v>
      </c>
      <c r="BJ17" s="316">
        <f>BI17-BH17</f>
        <v>0</v>
      </c>
      <c r="BK17" s="309"/>
      <c r="BL17" s="315">
        <f>BH17</f>
        <v>3.39</v>
      </c>
      <c r="BM17" s="314">
        <f>1.22+2.171-0.001</f>
        <v>3.39</v>
      </c>
      <c r="BN17" s="308">
        <f>BM17-BL17</f>
        <v>0</v>
      </c>
      <c r="BO17" s="309"/>
      <c r="BP17" s="501">
        <f>BH17</f>
        <v>3.39</v>
      </c>
      <c r="BQ17" s="486">
        <v>3.39</v>
      </c>
      <c r="BR17" s="457">
        <f>BQ17-BP17</f>
        <v>0</v>
      </c>
      <c r="BS17" s="506"/>
      <c r="BT17" s="307">
        <v>2.88</v>
      </c>
      <c r="BU17" s="312">
        <f>0.397+2.354</f>
        <v>2.7510000000000003</v>
      </c>
      <c r="BV17" s="308">
        <f>BU17-BT17</f>
        <v>-0.12899999999999956</v>
      </c>
      <c r="BW17" s="527" t="s">
        <v>193</v>
      </c>
      <c r="BX17" s="307">
        <f>BT17</f>
        <v>2.88</v>
      </c>
      <c r="BY17" s="312">
        <f>0.397+2.354</f>
        <v>2.7510000000000003</v>
      </c>
      <c r="BZ17" s="308">
        <f>BY17-BX17</f>
        <v>-0.12899999999999956</v>
      </c>
      <c r="CA17" s="309"/>
      <c r="CB17" s="519">
        <f>BT17</f>
        <v>2.88</v>
      </c>
      <c r="CC17" s="486">
        <v>2.7509999999999999</v>
      </c>
      <c r="CD17" s="457">
        <f>CC17-CB17</f>
        <v>-0.129</v>
      </c>
      <c r="CE17" s="318"/>
      <c r="CF17" s="91"/>
      <c r="CG17" s="2"/>
      <c r="CH17" s="105"/>
    </row>
    <row r="18" spans="1:87" ht="15.75" customHeight="1" x14ac:dyDescent="0.2">
      <c r="A18" s="106" t="s">
        <v>62</v>
      </c>
      <c r="B18" s="660" t="s">
        <v>29</v>
      </c>
      <c r="C18" s="661"/>
      <c r="D18" s="661"/>
      <c r="E18" s="661"/>
      <c r="F18" s="661"/>
      <c r="G18" s="661"/>
      <c r="H18" s="661"/>
      <c r="I18" s="661"/>
      <c r="J18" s="661"/>
      <c r="K18" s="661"/>
      <c r="L18" s="661"/>
      <c r="M18" s="661"/>
      <c r="N18" s="661"/>
      <c r="O18" s="661"/>
      <c r="P18" s="661"/>
      <c r="Q18" s="661"/>
      <c r="R18" s="661"/>
      <c r="S18" s="661"/>
      <c r="T18" s="661"/>
      <c r="U18" s="661"/>
      <c r="V18" s="661"/>
      <c r="W18" s="661"/>
      <c r="X18" s="661"/>
      <c r="Y18" s="661"/>
      <c r="Z18" s="661"/>
      <c r="AA18" s="661"/>
      <c r="AB18" s="661"/>
      <c r="AC18" s="661"/>
      <c r="AD18" s="661"/>
      <c r="AE18" s="661"/>
      <c r="AF18" s="661"/>
      <c r="AG18" s="661"/>
      <c r="AH18" s="661"/>
      <c r="AI18" s="661"/>
      <c r="AJ18" s="661"/>
      <c r="AK18" s="661"/>
      <c r="AL18" s="661"/>
      <c r="AM18" s="661"/>
      <c r="AN18" s="661"/>
      <c r="AO18" s="661"/>
      <c r="AP18" s="661"/>
      <c r="AQ18" s="661"/>
      <c r="AR18" s="661"/>
      <c r="AS18" s="661"/>
      <c r="AT18" s="661"/>
      <c r="AU18" s="661"/>
      <c r="AV18" s="661"/>
      <c r="AW18" s="661"/>
      <c r="AX18" s="661"/>
      <c r="AY18" s="661"/>
      <c r="AZ18" s="661"/>
      <c r="BA18" s="661"/>
      <c r="BB18" s="661"/>
      <c r="BC18" s="661"/>
      <c r="BD18" s="661"/>
      <c r="BE18" s="661"/>
      <c r="BF18" s="661"/>
      <c r="BG18" s="661"/>
      <c r="BH18" s="661"/>
      <c r="BI18" s="661"/>
      <c r="BJ18" s="661"/>
      <c r="BK18" s="661"/>
      <c r="BL18" s="661"/>
      <c r="BM18" s="661"/>
      <c r="BN18" s="661"/>
      <c r="BO18" s="661"/>
      <c r="BP18" s="661"/>
      <c r="BQ18" s="661"/>
      <c r="BR18" s="661"/>
      <c r="BS18" s="661"/>
      <c r="BT18" s="661"/>
      <c r="BU18" s="661"/>
      <c r="BV18" s="661"/>
      <c r="BW18" s="661"/>
      <c r="BX18" s="661"/>
      <c r="BY18" s="661"/>
      <c r="BZ18" s="661"/>
      <c r="CA18" s="661"/>
      <c r="CB18" s="661"/>
      <c r="CC18" s="661"/>
      <c r="CD18" s="661"/>
      <c r="CE18" s="662"/>
      <c r="CF18" s="91"/>
      <c r="CG18" s="2"/>
    </row>
    <row r="19" spans="1:87" ht="50.25" customHeight="1" x14ac:dyDescent="0.2">
      <c r="A19" s="107" t="s">
        <v>57</v>
      </c>
      <c r="B19" s="259" t="s">
        <v>49</v>
      </c>
      <c r="C19" s="288" t="s">
        <v>4</v>
      </c>
      <c r="D19" s="258">
        <f>D21/D20*100</f>
        <v>6.3157590397817991</v>
      </c>
      <c r="E19" s="319">
        <f>E21/E20*100</f>
        <v>10.76522602790596</v>
      </c>
      <c r="F19" s="319">
        <f t="shared" ref="F19:F27" si="29">E19-D19</f>
        <v>4.4494669881241613</v>
      </c>
      <c r="G19" s="320"/>
      <c r="H19" s="319">
        <f>H21/H20*100</f>
        <v>6.3157590397817991</v>
      </c>
      <c r="I19" s="319">
        <v>12.096663161092017</v>
      </c>
      <c r="J19" s="319">
        <f t="shared" ref="J19:J27" si="30">I19-H19</f>
        <v>5.7809041213102184</v>
      </c>
      <c r="K19" s="320"/>
      <c r="L19" s="458">
        <v>6.3157590873757563</v>
      </c>
      <c r="M19" s="458">
        <f>M21/M20*100</f>
        <v>10.82324683573864</v>
      </c>
      <c r="N19" s="458">
        <f t="shared" ref="N19:N27" si="31">M19-L19</f>
        <v>4.5074877483628839</v>
      </c>
      <c r="O19" s="464" t="s">
        <v>259</v>
      </c>
      <c r="P19" s="256">
        <f>P21/P20*100</f>
        <v>6.3157590397817991</v>
      </c>
      <c r="Q19" s="256">
        <f>Q21/Q20*100</f>
        <v>6.3157590397817991</v>
      </c>
      <c r="R19" s="256">
        <f>R21/R20*100</f>
        <v>2.7348255009939382</v>
      </c>
      <c r="S19" s="319">
        <f>S21/S20*100</f>
        <v>2.6911471059343324</v>
      </c>
      <c r="T19" s="319">
        <f t="shared" ref="T19:T27" si="32">S19-R19</f>
        <v>-4.3678395059605801E-2</v>
      </c>
      <c r="U19" s="254"/>
      <c r="V19" s="319">
        <f>V21/V20*100</f>
        <v>2.7348255009939382</v>
      </c>
      <c r="W19" s="319">
        <v>2.7003141076175132</v>
      </c>
      <c r="X19" s="319">
        <f t="shared" ref="X19:X27" si="33">W19-V19</f>
        <v>-3.4511393376424948E-2</v>
      </c>
      <c r="Y19" s="254"/>
      <c r="Z19" s="458">
        <v>2.891546948957973</v>
      </c>
      <c r="AA19" s="458">
        <f>AA21/AA20*100</f>
        <v>2.518019830544632</v>
      </c>
      <c r="AB19" s="458">
        <f t="shared" ref="AB19:AB27" si="34">AA19-Z19</f>
        <v>-0.37352711841334107</v>
      </c>
      <c r="AC19" s="451"/>
      <c r="AD19" s="256">
        <f>AD21/AD20*100</f>
        <v>2.7348255009939382</v>
      </c>
      <c r="AE19" s="256">
        <f>AE21/AE20*100</f>
        <v>2.7348255009939382</v>
      </c>
      <c r="AF19" s="256">
        <f>AF21/AF20*100</f>
        <v>0.84566742263162153</v>
      </c>
      <c r="AG19" s="319">
        <f>AG21/AG20*100</f>
        <v>0.84281427662315689</v>
      </c>
      <c r="AH19" s="319">
        <f>AG19-AF19</f>
        <v>-2.8531460084646465E-3</v>
      </c>
      <c r="AI19" s="254"/>
      <c r="AJ19" s="319">
        <f>AJ21/AJ20*100</f>
        <v>0.84566742263162153</v>
      </c>
      <c r="AK19" s="319">
        <v>0.80000448465443486</v>
      </c>
      <c r="AL19" s="319">
        <f>AK19-AJ19</f>
        <v>-4.5662937977186679E-2</v>
      </c>
      <c r="AM19" s="254"/>
      <c r="AN19" s="458">
        <v>0.87836536155559053</v>
      </c>
      <c r="AO19" s="458">
        <f>AO21/AO20*100</f>
        <v>0.79198453155211823</v>
      </c>
      <c r="AP19" s="458">
        <f>AO19-AN19</f>
        <v>-8.6380830003472298E-2</v>
      </c>
      <c r="AQ19" s="451"/>
      <c r="AR19" s="256">
        <f>AR21/AR20*100</f>
        <v>0.84566742263162153</v>
      </c>
      <c r="AS19" s="256">
        <f>AS21/AS20*100</f>
        <v>0.84566742263162153</v>
      </c>
      <c r="AT19" s="256">
        <f>AT21/AT20*100</f>
        <v>1.8791422275389713</v>
      </c>
      <c r="AU19" s="319">
        <f>AU21/AU20*100</f>
        <v>1.8859042357492761</v>
      </c>
      <c r="AV19" s="319">
        <f>AU19-AT19</f>
        <v>6.7620082103048151E-3</v>
      </c>
      <c r="AW19" s="254"/>
      <c r="AX19" s="319">
        <f>AX21/AX20*100</f>
        <v>1.8791422275389713</v>
      </c>
      <c r="AY19" s="319">
        <v>1.9000015291867616</v>
      </c>
      <c r="AZ19" s="319">
        <f>AY19-AX19</f>
        <v>2.0859301647790263E-2</v>
      </c>
      <c r="BA19" s="254"/>
      <c r="BB19" s="458">
        <v>1.9895867570264107</v>
      </c>
      <c r="BC19" s="458">
        <f>BC21/BC20*100</f>
        <v>1.8661965738363957</v>
      </c>
      <c r="BD19" s="458">
        <f>BC19-BB19</f>
        <v>-0.12339018319001505</v>
      </c>
      <c r="BE19" s="451"/>
      <c r="BF19" s="256">
        <f>BF21/BF20*100</f>
        <v>1.8791422275389713</v>
      </c>
      <c r="BG19" s="256">
        <f>BG21/BG20*100</f>
        <v>1.8791422275389713</v>
      </c>
      <c r="BH19" s="256">
        <f>BH21/BH20*100</f>
        <v>1.4500085130782396</v>
      </c>
      <c r="BI19" s="319">
        <f>BI21/BI20*100</f>
        <v>1.4418861890493218</v>
      </c>
      <c r="BJ19" s="319">
        <f>BI19-BH19</f>
        <v>-8.1223240289178822E-3</v>
      </c>
      <c r="BK19" s="321"/>
      <c r="BL19" s="258">
        <f>BL21/BL20*100</f>
        <v>1.4500012030181222</v>
      </c>
      <c r="BM19" s="319">
        <v>1.4777626030396298</v>
      </c>
      <c r="BN19" s="319">
        <f t="shared" ref="BN19:BN27" si="35">BM19-BL19</f>
        <v>2.7761400021507621E-2</v>
      </c>
      <c r="BO19" s="254"/>
      <c r="BP19" s="487">
        <v>1.5676855718365821</v>
      </c>
      <c r="BQ19" s="458">
        <f>BQ21/BQ20*100</f>
        <v>1.4631745608315052</v>
      </c>
      <c r="BR19" s="458">
        <f t="shared" ref="BR19:BR27" si="36">BQ19-BP19</f>
        <v>-0.10451101100507687</v>
      </c>
      <c r="BS19" s="507"/>
      <c r="BT19" s="258">
        <f>BT21/BT20*100</f>
        <v>2.4032009875173297</v>
      </c>
      <c r="BU19" s="319">
        <f>BU21/BU20*100</f>
        <v>2.4000046774419133</v>
      </c>
      <c r="BV19" s="319">
        <f>BU19-BT19</f>
        <v>-3.1963100754164309E-3</v>
      </c>
      <c r="BW19" s="321"/>
      <c r="BX19" s="258">
        <f>BX21/BX20*100</f>
        <v>2.4032009875173297</v>
      </c>
      <c r="BY19" s="319">
        <v>2.3999985087815952</v>
      </c>
      <c r="BZ19" s="319">
        <f t="shared" ref="BZ19:BZ27" si="37">BY19-BX19</f>
        <v>-3.2024787357345375E-3</v>
      </c>
      <c r="CA19" s="254"/>
      <c r="CB19" s="487">
        <v>2.44833998116074</v>
      </c>
      <c r="CC19" s="458">
        <f>CC21/CC20*100</f>
        <v>2.3783948756433135</v>
      </c>
      <c r="CD19" s="458">
        <f t="shared" ref="CD19:CD27" si="38">CC19-CB19</f>
        <v>-6.9945105517426498E-2</v>
      </c>
      <c r="CE19" s="451"/>
      <c r="CF19" s="91"/>
      <c r="CG19" s="2"/>
      <c r="CH19" s="2"/>
      <c r="CI19" s="2"/>
    </row>
    <row r="20" spans="1:87" ht="15.75" x14ac:dyDescent="0.2">
      <c r="A20" s="97" t="s">
        <v>30</v>
      </c>
      <c r="B20" s="259" t="s">
        <v>63</v>
      </c>
      <c r="C20" s="250" t="s">
        <v>70</v>
      </c>
      <c r="D20" s="322">
        <v>1135.886986</v>
      </c>
      <c r="E20" s="323">
        <f>'[6]раздел 2'!G13/1000</f>
        <v>1023.397704</v>
      </c>
      <c r="F20" s="253">
        <f t="shared" si="29"/>
        <v>-112.489282</v>
      </c>
      <c r="G20" s="324"/>
      <c r="H20" s="253">
        <v>1135.886986</v>
      </c>
      <c r="I20" s="253">
        <v>1008.387217</v>
      </c>
      <c r="J20" s="253">
        <f t="shared" si="30"/>
        <v>-127.49976900000001</v>
      </c>
      <c r="K20" s="324"/>
      <c r="L20" s="446">
        <v>1084.1101450000001</v>
      </c>
      <c r="M20" s="446">
        <v>1070.55</v>
      </c>
      <c r="N20" s="446">
        <f t="shared" si="31"/>
        <v>-13.560145000000148</v>
      </c>
      <c r="O20" s="465"/>
      <c r="P20" s="273">
        <v>1135.886986</v>
      </c>
      <c r="Q20" s="273">
        <v>1135.886986</v>
      </c>
      <c r="R20" s="273">
        <v>39.621687000000001</v>
      </c>
      <c r="S20" s="253">
        <f>'[6]раздел 2'!AA13/1000</f>
        <v>34.594912999999998</v>
      </c>
      <c r="T20" s="253">
        <f t="shared" si="32"/>
        <v>-5.0267740000000032</v>
      </c>
      <c r="U20" s="276"/>
      <c r="V20" s="253">
        <v>39.621687000000001</v>
      </c>
      <c r="W20" s="253">
        <v>28.811463</v>
      </c>
      <c r="X20" s="253">
        <f t="shared" si="33"/>
        <v>-10.810224000000002</v>
      </c>
      <c r="Y20" s="276"/>
      <c r="Z20" s="446">
        <v>37.474196999999997</v>
      </c>
      <c r="AA20" s="446">
        <v>29.864737000000002</v>
      </c>
      <c r="AB20" s="446">
        <f t="shared" si="34"/>
        <v>-7.609459999999995</v>
      </c>
      <c r="AC20" s="476"/>
      <c r="AD20" s="273">
        <v>39.621687000000001</v>
      </c>
      <c r="AE20" s="273">
        <v>39.621687000000001</v>
      </c>
      <c r="AF20" s="273">
        <v>19.684334000000003</v>
      </c>
      <c r="AG20" s="253">
        <f>'[6]раздел 2'!AU13/1000</f>
        <v>18.239131</v>
      </c>
      <c r="AH20" s="253">
        <f>AG20-AF20</f>
        <v>-1.4452030000000029</v>
      </c>
      <c r="AI20" s="276"/>
      <c r="AJ20" s="253">
        <v>19.684334000000003</v>
      </c>
      <c r="AK20" s="253">
        <v>16.589907</v>
      </c>
      <c r="AL20" s="253">
        <f>AK20-AJ20</f>
        <v>-3.0944270000000031</v>
      </c>
      <c r="AM20" s="276"/>
      <c r="AN20" s="446">
        <v>18.951567000000001</v>
      </c>
      <c r="AO20" s="446">
        <v>17.067</v>
      </c>
      <c r="AP20" s="446">
        <f>AO20-AN20</f>
        <v>-1.8845670000000005</v>
      </c>
      <c r="AQ20" s="476"/>
      <c r="AR20" s="273">
        <v>19.684334000000003</v>
      </c>
      <c r="AS20" s="273">
        <v>19.684334000000003</v>
      </c>
      <c r="AT20" s="273">
        <v>32.409947000000003</v>
      </c>
      <c r="AU20" s="253">
        <f>'[6]раздел 2'!BO13/1000</f>
        <v>28.67521</v>
      </c>
      <c r="AV20" s="253">
        <f>AU20-AT20</f>
        <v>-3.7347370000000026</v>
      </c>
      <c r="AW20" s="276"/>
      <c r="AX20" s="253">
        <v>32.409947000000003</v>
      </c>
      <c r="AY20" s="253">
        <v>26.877031000000002</v>
      </c>
      <c r="AZ20" s="253">
        <f>AY20-AX20</f>
        <v>-5.5329160000000002</v>
      </c>
      <c r="BA20" s="276"/>
      <c r="BB20" s="446">
        <v>30.610828999999995</v>
      </c>
      <c r="BC20" s="446">
        <v>26.180361000000001</v>
      </c>
      <c r="BD20" s="446">
        <f>BC20-BB20</f>
        <v>-4.4304679999999941</v>
      </c>
      <c r="BE20" s="476"/>
      <c r="BF20" s="273">
        <v>32.409947000000003</v>
      </c>
      <c r="BG20" s="273">
        <v>32.409947000000003</v>
      </c>
      <c r="BH20" s="273">
        <v>26.676602000000003</v>
      </c>
      <c r="BI20" s="253">
        <f>'[6]раздел 2'!CI13/1000</f>
        <v>20.008513999999998</v>
      </c>
      <c r="BJ20" s="253">
        <f>BI20-BH20</f>
        <v>-6.6680880000000045</v>
      </c>
      <c r="BK20" s="274"/>
      <c r="BL20" s="271">
        <f>'[3]раздел 2'!BQ13/1000</f>
        <v>24.563220999999999</v>
      </c>
      <c r="BM20" s="253">
        <v>19.913212000000001</v>
      </c>
      <c r="BN20" s="253">
        <f t="shared" si="35"/>
        <v>-4.6500089999999972</v>
      </c>
      <c r="BO20" s="276"/>
      <c r="BP20" s="488">
        <v>22.719287999999999</v>
      </c>
      <c r="BQ20" s="446">
        <v>19.433088000000001</v>
      </c>
      <c r="BR20" s="446">
        <f t="shared" si="36"/>
        <v>-3.2861999999999973</v>
      </c>
      <c r="BS20" s="503"/>
      <c r="BT20" s="271">
        <v>27.475771000000002</v>
      </c>
      <c r="BU20" s="253">
        <f>'[6]раздел 2'!DC13/1000</f>
        <v>25.997115999999998</v>
      </c>
      <c r="BV20" s="253">
        <f>BU20-BT20</f>
        <v>-1.4786550000000034</v>
      </c>
      <c r="BW20" s="274"/>
      <c r="BX20" s="271">
        <v>27.475771000000002</v>
      </c>
      <c r="BY20" s="253">
        <v>24.677807000000001</v>
      </c>
      <c r="BZ20" s="253">
        <f t="shared" si="37"/>
        <v>-2.7979640000000003</v>
      </c>
      <c r="CA20" s="276"/>
      <c r="CB20" s="488">
        <v>26.969211999999999</v>
      </c>
      <c r="CC20" s="446">
        <v>24.855881</v>
      </c>
      <c r="CD20" s="446">
        <f>CC20-CB20</f>
        <v>-2.1133309999999987</v>
      </c>
      <c r="CE20" s="476"/>
      <c r="CF20" s="91"/>
      <c r="CG20" s="2"/>
      <c r="CH20" s="2"/>
      <c r="CI20" s="2"/>
    </row>
    <row r="21" spans="1:87" ht="66" customHeight="1" x14ac:dyDescent="0.2">
      <c r="A21" s="97" t="s">
        <v>31</v>
      </c>
      <c r="B21" s="259" t="s">
        <v>64</v>
      </c>
      <c r="C21" s="250" t="s">
        <v>70</v>
      </c>
      <c r="D21" s="271">
        <v>71.739885000000015</v>
      </c>
      <c r="E21" s="253">
        <f>'[6]раздел 2'!G14/1000</f>
        <v>110.171076</v>
      </c>
      <c r="F21" s="253">
        <f t="shared" si="29"/>
        <v>38.431190999999984</v>
      </c>
      <c r="G21" s="325" t="s">
        <v>212</v>
      </c>
      <c r="H21" s="253">
        <v>71.739885000000015</v>
      </c>
      <c r="I21" s="253">
        <v>121.98120500000002</v>
      </c>
      <c r="J21" s="253">
        <f t="shared" si="30"/>
        <v>50.241320000000002</v>
      </c>
      <c r="K21" s="325" t="s">
        <v>212</v>
      </c>
      <c r="L21" s="446">
        <v>68.469785000000002</v>
      </c>
      <c r="M21" s="446">
        <v>115.868269</v>
      </c>
      <c r="N21" s="446">
        <f t="shared" si="31"/>
        <v>47.398483999999996</v>
      </c>
      <c r="O21" s="459"/>
      <c r="P21" s="273">
        <v>71.739885000000015</v>
      </c>
      <c r="Q21" s="273">
        <v>71.739885000000015</v>
      </c>
      <c r="R21" s="273">
        <v>1.0835840000000001</v>
      </c>
      <c r="S21" s="253">
        <f>'[6]раздел 2'!AA14/1000</f>
        <v>0.93100000000000005</v>
      </c>
      <c r="T21" s="253">
        <f t="shared" si="32"/>
        <v>-0.15258400000000005</v>
      </c>
      <c r="U21" s="276"/>
      <c r="V21" s="253">
        <v>1.0835840000000001</v>
      </c>
      <c r="W21" s="253">
        <v>0.77800000000000002</v>
      </c>
      <c r="X21" s="253">
        <f t="shared" si="33"/>
        <v>-0.30558400000000008</v>
      </c>
      <c r="Y21" s="276"/>
      <c r="Z21" s="446">
        <v>1.0835840000000001</v>
      </c>
      <c r="AA21" s="446">
        <v>0.752</v>
      </c>
      <c r="AB21" s="446">
        <f t="shared" si="34"/>
        <v>-0.3315840000000001</v>
      </c>
      <c r="AC21" s="476"/>
      <c r="AD21" s="273">
        <v>1.0835840000000001</v>
      </c>
      <c r="AE21" s="273">
        <v>1.0835840000000001</v>
      </c>
      <c r="AF21" s="252">
        <v>0.166464</v>
      </c>
      <c r="AG21" s="253">
        <f>'[6]раздел 2'!AU15/1000</f>
        <v>0.15372199999999997</v>
      </c>
      <c r="AH21" s="253">
        <f>AG21-AF21</f>
        <v>-1.2742000000000031E-2</v>
      </c>
      <c r="AI21" s="326"/>
      <c r="AJ21" s="253">
        <v>0.166464</v>
      </c>
      <c r="AK21" s="253">
        <v>0.13272</v>
      </c>
      <c r="AL21" s="253">
        <f>AK21-AJ21</f>
        <v>-3.3743999999999996E-2</v>
      </c>
      <c r="AM21" s="326"/>
      <c r="AN21" s="446">
        <v>0.166464</v>
      </c>
      <c r="AO21" s="446">
        <v>0.13516800000000001</v>
      </c>
      <c r="AP21" s="446">
        <f>AO21-AN21</f>
        <v>-3.129599999999999E-2</v>
      </c>
      <c r="AQ21" s="493"/>
      <c r="AR21" s="273">
        <v>0.166464</v>
      </c>
      <c r="AS21" s="273">
        <v>0.166464</v>
      </c>
      <c r="AT21" s="252">
        <v>0.60902900000000004</v>
      </c>
      <c r="AU21" s="253">
        <f>'[6]раздел 2'!BO14/1000</f>
        <v>0.54078700000000002</v>
      </c>
      <c r="AV21" s="253">
        <f>AU21-AT21</f>
        <v>-6.8242000000000025E-2</v>
      </c>
      <c r="AW21" s="326"/>
      <c r="AX21" s="255">
        <v>0.60902900000000004</v>
      </c>
      <c r="AY21" s="253">
        <v>0.51066400000000001</v>
      </c>
      <c r="AZ21" s="253">
        <f>AY21-AX21</f>
        <v>-9.8365000000000036E-2</v>
      </c>
      <c r="BA21" s="326"/>
      <c r="BB21" s="439">
        <v>0.60902900000000004</v>
      </c>
      <c r="BC21" s="446">
        <v>0.48857699999999998</v>
      </c>
      <c r="BD21" s="446">
        <f>BC21-BB21</f>
        <v>-0.12045200000000006</v>
      </c>
      <c r="BE21" s="493"/>
      <c r="BF21" s="273">
        <v>0.60902900000000004</v>
      </c>
      <c r="BG21" s="273">
        <v>0.60902900000000004</v>
      </c>
      <c r="BH21" s="252">
        <v>0.38681299999999996</v>
      </c>
      <c r="BI21" s="253">
        <f>'[6]раздел 2'!CI14/1000</f>
        <v>0.28849999999999998</v>
      </c>
      <c r="BJ21" s="253">
        <f>BI21-BH21</f>
        <v>-9.8312999999999984E-2</v>
      </c>
      <c r="BK21" s="257"/>
      <c r="BL21" s="271">
        <f>'[3]раздел 2'!BQ14/1000</f>
        <v>0.35616700000000001</v>
      </c>
      <c r="BM21" s="253">
        <v>0.29426999999999998</v>
      </c>
      <c r="BN21" s="253">
        <f t="shared" si="35"/>
        <v>-6.1897000000000035E-2</v>
      </c>
      <c r="BO21" s="276"/>
      <c r="BP21" s="488">
        <v>0.35616700000000001</v>
      </c>
      <c r="BQ21" s="446">
        <f>284.34/1000</f>
        <v>0.28433999999999998</v>
      </c>
      <c r="BR21" s="446">
        <f t="shared" si="36"/>
        <v>-7.182700000000003E-2</v>
      </c>
      <c r="BS21" s="503"/>
      <c r="BT21" s="271">
        <v>0.66029800000000005</v>
      </c>
      <c r="BU21" s="253">
        <f>'[6]раздел 2'!DC14/1000</f>
        <v>0.62393200000000004</v>
      </c>
      <c r="BV21" s="253">
        <f>BU21-BT21</f>
        <v>-3.6366000000000009E-2</v>
      </c>
      <c r="BW21" s="274"/>
      <c r="BX21" s="271">
        <v>0.66029800000000005</v>
      </c>
      <c r="BY21" s="253">
        <v>0.5922670000000001</v>
      </c>
      <c r="BZ21" s="253">
        <f t="shared" si="37"/>
        <v>-6.8030999999999953E-2</v>
      </c>
      <c r="CA21" s="276"/>
      <c r="CB21" s="488">
        <v>0.66029800000000005</v>
      </c>
      <c r="CC21" s="446">
        <v>0.591171</v>
      </c>
      <c r="CD21" s="446">
        <f t="shared" si="38"/>
        <v>-6.912700000000005E-2</v>
      </c>
      <c r="CE21" s="476"/>
      <c r="CF21" s="91"/>
      <c r="CG21" s="2"/>
      <c r="CH21" s="2"/>
      <c r="CI21" s="2"/>
    </row>
    <row r="22" spans="1:87" ht="49.5" customHeight="1" x14ac:dyDescent="0.2">
      <c r="A22" s="98" t="s">
        <v>58</v>
      </c>
      <c r="B22" s="259" t="s">
        <v>36</v>
      </c>
      <c r="C22" s="260" t="s">
        <v>41</v>
      </c>
      <c r="D22" s="327">
        <f>D23/D24</f>
        <v>8.0911068721576551E-2</v>
      </c>
      <c r="E22" s="328">
        <f>E23/E24</f>
        <v>9.8424000022448804E-2</v>
      </c>
      <c r="F22" s="328">
        <f t="shared" si="29"/>
        <v>1.7512931300872253E-2</v>
      </c>
      <c r="G22" s="325"/>
      <c r="H22" s="328">
        <f>H23/H24</f>
        <v>8.0911068721576551E-2</v>
      </c>
      <c r="I22" s="328">
        <v>0.10658079161461348</v>
      </c>
      <c r="J22" s="328">
        <f t="shared" si="30"/>
        <v>2.5669722893036928E-2</v>
      </c>
      <c r="K22" s="325"/>
      <c r="L22" s="460">
        <v>8.0911066195047995E-2</v>
      </c>
      <c r="M22" s="460">
        <f>M23/M24</f>
        <v>0.10815095044603243</v>
      </c>
      <c r="N22" s="460">
        <f t="shared" si="31"/>
        <v>2.7239884250984434E-2</v>
      </c>
      <c r="O22" s="459"/>
      <c r="P22" s="329">
        <f>P23/P24</f>
        <v>8.0911068721576551E-2</v>
      </c>
      <c r="Q22" s="329">
        <f>Q23/Q24</f>
        <v>8.0911068721576551E-2</v>
      </c>
      <c r="R22" s="329">
        <f>R23/R24</f>
        <v>1.6125993010664577</v>
      </c>
      <c r="S22" s="328">
        <f>S23/S24</f>
        <v>1.4534464549075647</v>
      </c>
      <c r="T22" s="328">
        <f t="shared" si="32"/>
        <v>-0.15915284615889291</v>
      </c>
      <c r="U22" s="330"/>
      <c r="V22" s="328">
        <f>V23/V24</f>
        <v>1.6125993010664577</v>
      </c>
      <c r="W22" s="328">
        <v>1.6954302191727828</v>
      </c>
      <c r="X22" s="328">
        <f t="shared" si="33"/>
        <v>8.2830918106325147E-2</v>
      </c>
      <c r="Y22" s="330"/>
      <c r="Z22" s="460">
        <v>1.6125993010664577</v>
      </c>
      <c r="AA22" s="460">
        <f>AA23/AA24</f>
        <v>1.6510106886258533</v>
      </c>
      <c r="AB22" s="460">
        <f t="shared" si="34"/>
        <v>3.841138755939566E-2</v>
      </c>
      <c r="AC22" s="477"/>
      <c r="AD22" s="329">
        <f>AD23/AD24</f>
        <v>1.6125993010664577</v>
      </c>
      <c r="AE22" s="329">
        <f>AE23/AE24</f>
        <v>1.6125993010664577</v>
      </c>
      <c r="AF22" s="264" t="s">
        <v>39</v>
      </c>
      <c r="AG22" s="328" t="s">
        <v>39</v>
      </c>
      <c r="AH22" s="328"/>
      <c r="AI22" s="277"/>
      <c r="AJ22" s="262" t="s">
        <v>39</v>
      </c>
      <c r="AK22" s="328" t="s">
        <v>39</v>
      </c>
      <c r="AL22" s="328"/>
      <c r="AM22" s="277"/>
      <c r="AN22" s="442" t="s">
        <v>39</v>
      </c>
      <c r="AO22" s="460" t="s">
        <v>39</v>
      </c>
      <c r="AP22" s="460" t="s">
        <v>39</v>
      </c>
      <c r="AQ22" s="494"/>
      <c r="AR22" s="264" t="s">
        <v>39</v>
      </c>
      <c r="AS22" s="264" t="s">
        <v>39</v>
      </c>
      <c r="AT22" s="264" t="s">
        <v>39</v>
      </c>
      <c r="AU22" s="328" t="s">
        <v>39</v>
      </c>
      <c r="AV22" s="328"/>
      <c r="AW22" s="277"/>
      <c r="AX22" s="262" t="s">
        <v>39</v>
      </c>
      <c r="AY22" s="328" t="s">
        <v>39</v>
      </c>
      <c r="AZ22" s="328"/>
      <c r="BA22" s="277"/>
      <c r="BB22" s="442" t="s">
        <v>39</v>
      </c>
      <c r="BC22" s="460" t="s">
        <v>39</v>
      </c>
      <c r="BD22" s="460" t="s">
        <v>39</v>
      </c>
      <c r="BE22" s="494"/>
      <c r="BF22" s="264" t="s">
        <v>39</v>
      </c>
      <c r="BG22" s="264" t="s">
        <v>39</v>
      </c>
      <c r="BH22" s="264" t="s">
        <v>39</v>
      </c>
      <c r="BI22" s="328" t="s">
        <v>39</v>
      </c>
      <c r="BJ22" s="328"/>
      <c r="BK22" s="269"/>
      <c r="BL22" s="327" t="s">
        <v>39</v>
      </c>
      <c r="BM22" s="328" t="s">
        <v>39</v>
      </c>
      <c r="BN22" s="328"/>
      <c r="BO22" s="330"/>
      <c r="BP22" s="511" t="s">
        <v>39</v>
      </c>
      <c r="BQ22" s="460" t="s">
        <v>39</v>
      </c>
      <c r="BR22" s="460" t="s">
        <v>39</v>
      </c>
      <c r="BS22" s="266"/>
      <c r="BT22" s="261" t="s">
        <v>39</v>
      </c>
      <c r="BU22" s="328" t="s">
        <v>39</v>
      </c>
      <c r="BV22" s="328"/>
      <c r="BW22" s="269"/>
      <c r="BX22" s="261" t="s">
        <v>39</v>
      </c>
      <c r="BY22" s="328" t="s">
        <v>39</v>
      </c>
      <c r="BZ22" s="328"/>
      <c r="CA22" s="330"/>
      <c r="CB22" s="489" t="s">
        <v>39</v>
      </c>
      <c r="CC22" s="460" t="s">
        <v>39</v>
      </c>
      <c r="CD22" s="460" t="s">
        <v>39</v>
      </c>
      <c r="CE22" s="477"/>
      <c r="CF22" s="91"/>
      <c r="CG22" s="2"/>
      <c r="CH22" s="2"/>
      <c r="CI22" s="2"/>
    </row>
    <row r="23" spans="1:87" ht="57.75" customHeight="1" x14ac:dyDescent="0.2">
      <c r="A23" s="101" t="s">
        <v>32</v>
      </c>
      <c r="B23" s="259" t="s">
        <v>65</v>
      </c>
      <c r="C23" s="331" t="s">
        <v>77</v>
      </c>
      <c r="D23" s="271">
        <v>96.073802999999998</v>
      </c>
      <c r="E23" s="332">
        <f>126.857-E26</f>
        <v>105.22499999999999</v>
      </c>
      <c r="F23" s="332">
        <f t="shared" si="29"/>
        <v>9.1511969999999963</v>
      </c>
      <c r="G23" s="325"/>
      <c r="H23" s="332">
        <v>96.073802999999998</v>
      </c>
      <c r="I23" s="333">
        <v>111.932</v>
      </c>
      <c r="J23" s="332">
        <f t="shared" si="30"/>
        <v>15.858197000000004</v>
      </c>
      <c r="K23" s="325"/>
      <c r="L23" s="461">
        <v>91.429504800404231</v>
      </c>
      <c r="M23" s="466">
        <f>123.408-M26</f>
        <v>115.78100000000001</v>
      </c>
      <c r="N23" s="466">
        <f t="shared" si="31"/>
        <v>24.351495199595774</v>
      </c>
      <c r="O23" s="459" t="s">
        <v>260</v>
      </c>
      <c r="P23" s="273">
        <v>96.073802999999998</v>
      </c>
      <c r="Q23" s="273">
        <v>96.073802999999998</v>
      </c>
      <c r="R23" s="273">
        <v>66.640600000000006</v>
      </c>
      <c r="S23" s="332">
        <v>50.448999999999998</v>
      </c>
      <c r="T23" s="332">
        <f t="shared" si="32"/>
        <v>-16.191600000000008</v>
      </c>
      <c r="U23" s="275" t="s">
        <v>194</v>
      </c>
      <c r="V23" s="253">
        <v>66.640600000000006</v>
      </c>
      <c r="W23" s="333">
        <v>52.493000000000002</v>
      </c>
      <c r="X23" s="332">
        <f t="shared" si="33"/>
        <v>-14.147600000000004</v>
      </c>
      <c r="Y23" s="275" t="s">
        <v>214</v>
      </c>
      <c r="Z23" s="446">
        <v>63.341752375188101</v>
      </c>
      <c r="AA23" s="466">
        <f>ROUND((78.215-5.5*0.6*24*365/1000),3)</f>
        <v>49.307000000000002</v>
      </c>
      <c r="AB23" s="466">
        <f t="shared" si="34"/>
        <v>-14.034752375188098</v>
      </c>
      <c r="AC23" s="478"/>
      <c r="AD23" s="273">
        <v>66.640600000000006</v>
      </c>
      <c r="AE23" s="273">
        <v>66.640600000000006</v>
      </c>
      <c r="AF23" s="264" t="s">
        <v>39</v>
      </c>
      <c r="AG23" s="332" t="s">
        <v>39</v>
      </c>
      <c r="AH23" s="332"/>
      <c r="AI23" s="277"/>
      <c r="AJ23" s="262" t="s">
        <v>39</v>
      </c>
      <c r="AK23" s="332" t="s">
        <v>39</v>
      </c>
      <c r="AL23" s="332"/>
      <c r="AM23" s="277"/>
      <c r="AN23" s="442" t="s">
        <v>39</v>
      </c>
      <c r="AO23" s="466" t="s">
        <v>39</v>
      </c>
      <c r="AP23" s="466" t="s">
        <v>39</v>
      </c>
      <c r="AQ23" s="494"/>
      <c r="AR23" s="264" t="s">
        <v>39</v>
      </c>
      <c r="AS23" s="264" t="s">
        <v>39</v>
      </c>
      <c r="AT23" s="264" t="s">
        <v>39</v>
      </c>
      <c r="AU23" s="332" t="s">
        <v>39</v>
      </c>
      <c r="AV23" s="332"/>
      <c r="AW23" s="277"/>
      <c r="AX23" s="262" t="s">
        <v>39</v>
      </c>
      <c r="AY23" s="332" t="s">
        <v>39</v>
      </c>
      <c r="AZ23" s="332"/>
      <c r="BA23" s="277"/>
      <c r="BB23" s="442" t="s">
        <v>39</v>
      </c>
      <c r="BC23" s="466" t="s">
        <v>39</v>
      </c>
      <c r="BD23" s="466" t="s">
        <v>39</v>
      </c>
      <c r="BE23" s="494"/>
      <c r="BF23" s="264" t="s">
        <v>39</v>
      </c>
      <c r="BG23" s="264" t="s">
        <v>39</v>
      </c>
      <c r="BH23" s="264" t="s">
        <v>39</v>
      </c>
      <c r="BI23" s="332" t="s">
        <v>39</v>
      </c>
      <c r="BJ23" s="332"/>
      <c r="BK23" s="269"/>
      <c r="BL23" s="261" t="s">
        <v>39</v>
      </c>
      <c r="BM23" s="332" t="s">
        <v>39</v>
      </c>
      <c r="BN23" s="332"/>
      <c r="BO23" s="275"/>
      <c r="BP23" s="489" t="s">
        <v>39</v>
      </c>
      <c r="BQ23" s="460" t="s">
        <v>39</v>
      </c>
      <c r="BR23" s="460" t="s">
        <v>39</v>
      </c>
      <c r="BS23" s="508"/>
      <c r="BT23" s="261" t="s">
        <v>39</v>
      </c>
      <c r="BU23" s="332" t="s">
        <v>39</v>
      </c>
      <c r="BV23" s="332"/>
      <c r="BW23" s="269"/>
      <c r="BX23" s="261" t="s">
        <v>39</v>
      </c>
      <c r="BY23" s="332" t="s">
        <v>39</v>
      </c>
      <c r="BZ23" s="332"/>
      <c r="CA23" s="275"/>
      <c r="CB23" s="489" t="s">
        <v>39</v>
      </c>
      <c r="CC23" s="466" t="s">
        <v>39</v>
      </c>
      <c r="CD23" s="466" t="s">
        <v>39</v>
      </c>
      <c r="CE23" s="478"/>
      <c r="CF23" s="91"/>
      <c r="CG23" s="2"/>
      <c r="CH23" s="2"/>
      <c r="CI23" s="2"/>
    </row>
    <row r="24" spans="1:87" ht="58.5" customHeight="1" x14ac:dyDescent="0.2">
      <c r="A24" s="98" t="s">
        <v>56</v>
      </c>
      <c r="B24" s="259" t="s">
        <v>66</v>
      </c>
      <c r="C24" s="334" t="s">
        <v>70</v>
      </c>
      <c r="D24" s="322">
        <v>1187.4000000000001</v>
      </c>
      <c r="E24" s="335">
        <f>'[6]раздел 2'!G11/1000</f>
        <v>1069.0989999999999</v>
      </c>
      <c r="F24" s="332">
        <f t="shared" si="29"/>
        <v>-118.30100000000016</v>
      </c>
      <c r="G24" s="325"/>
      <c r="H24" s="332">
        <v>1187.4000000000001</v>
      </c>
      <c r="I24" s="332">
        <v>1050.2080000000001</v>
      </c>
      <c r="J24" s="332">
        <f t="shared" si="30"/>
        <v>-137.19200000000001</v>
      </c>
      <c r="K24" s="325"/>
      <c r="L24" s="461">
        <v>1130</v>
      </c>
      <c r="M24" s="466">
        <f>M20</f>
        <v>1070.55</v>
      </c>
      <c r="N24" s="466">
        <f t="shared" si="31"/>
        <v>-59.450000000000045</v>
      </c>
      <c r="O24" s="459"/>
      <c r="P24" s="273">
        <v>1187.4000000000001</v>
      </c>
      <c r="Q24" s="273">
        <v>1187.4000000000001</v>
      </c>
      <c r="R24" s="273">
        <v>41.324958999999993</v>
      </c>
      <c r="S24" s="332">
        <f>'[6]раздел 2'!AA8/1000-1.717</f>
        <v>34.709913</v>
      </c>
      <c r="T24" s="332">
        <f t="shared" si="32"/>
        <v>-6.6150459999999924</v>
      </c>
      <c r="U24" s="275" t="s">
        <v>195</v>
      </c>
      <c r="V24" s="253">
        <v>41.324958999999993</v>
      </c>
      <c r="W24" s="332">
        <v>30.961462999999998</v>
      </c>
      <c r="X24" s="332">
        <f t="shared" si="33"/>
        <v>-10.363495999999994</v>
      </c>
      <c r="Y24" s="275" t="s">
        <v>195</v>
      </c>
      <c r="Z24" s="446">
        <v>39.279288000000001</v>
      </c>
      <c r="AA24" s="466">
        <f>AA20</f>
        <v>29.864737000000002</v>
      </c>
      <c r="AB24" s="466">
        <f t="shared" si="34"/>
        <v>-9.4145509999999994</v>
      </c>
      <c r="AC24" s="478"/>
      <c r="AD24" s="273">
        <v>41.324958999999993</v>
      </c>
      <c r="AE24" s="273">
        <v>41.324958999999993</v>
      </c>
      <c r="AF24" s="336" t="s">
        <v>39</v>
      </c>
      <c r="AG24" s="332" t="s">
        <v>39</v>
      </c>
      <c r="AH24" s="332"/>
      <c r="AI24" s="337"/>
      <c r="AJ24" s="338" t="s">
        <v>39</v>
      </c>
      <c r="AK24" s="332" t="s">
        <v>39</v>
      </c>
      <c r="AL24" s="332"/>
      <c r="AM24" s="337"/>
      <c r="AN24" s="495" t="s">
        <v>39</v>
      </c>
      <c r="AO24" s="466" t="s">
        <v>39</v>
      </c>
      <c r="AP24" s="466" t="s">
        <v>39</v>
      </c>
      <c r="AQ24" s="496"/>
      <c r="AR24" s="264" t="s">
        <v>39</v>
      </c>
      <c r="AS24" s="264" t="s">
        <v>39</v>
      </c>
      <c r="AT24" s="336" t="s">
        <v>39</v>
      </c>
      <c r="AU24" s="332" t="s">
        <v>39</v>
      </c>
      <c r="AV24" s="332"/>
      <c r="AW24" s="337"/>
      <c r="AX24" s="338" t="s">
        <v>39</v>
      </c>
      <c r="AY24" s="332" t="s">
        <v>39</v>
      </c>
      <c r="AZ24" s="332"/>
      <c r="BA24" s="337"/>
      <c r="BB24" s="495" t="s">
        <v>39</v>
      </c>
      <c r="BC24" s="466" t="s">
        <v>39</v>
      </c>
      <c r="BD24" s="466" t="s">
        <v>39</v>
      </c>
      <c r="BE24" s="496"/>
      <c r="BF24" s="336" t="s">
        <v>39</v>
      </c>
      <c r="BG24" s="336" t="s">
        <v>39</v>
      </c>
      <c r="BH24" s="336" t="s">
        <v>39</v>
      </c>
      <c r="BI24" s="332" t="s">
        <v>39</v>
      </c>
      <c r="BJ24" s="332"/>
      <c r="BK24" s="523"/>
      <c r="BL24" s="524" t="s">
        <v>39</v>
      </c>
      <c r="BM24" s="332">
        <v>0</v>
      </c>
      <c r="BN24" s="332"/>
      <c r="BO24" s="275"/>
      <c r="BP24" s="512" t="s">
        <v>39</v>
      </c>
      <c r="BQ24" s="460" t="s">
        <v>39</v>
      </c>
      <c r="BR24" s="511" t="s">
        <v>39</v>
      </c>
      <c r="BS24" s="266"/>
      <c r="BT24" s="261" t="s">
        <v>39</v>
      </c>
      <c r="BU24" s="332" t="s">
        <v>39</v>
      </c>
      <c r="BV24" s="332"/>
      <c r="BW24" s="269"/>
      <c r="BX24" s="261" t="s">
        <v>39</v>
      </c>
      <c r="BY24" s="332">
        <v>0</v>
      </c>
      <c r="BZ24" s="332"/>
      <c r="CA24" s="275"/>
      <c r="CB24" s="489" t="s">
        <v>39</v>
      </c>
      <c r="CC24" s="466" t="s">
        <v>39</v>
      </c>
      <c r="CD24" s="466" t="s">
        <v>39</v>
      </c>
      <c r="CE24" s="478"/>
      <c r="CF24" s="91"/>
      <c r="CG24" s="2"/>
      <c r="CH24" s="2"/>
      <c r="CI24" s="2"/>
    </row>
    <row r="25" spans="1:87" ht="49.5" customHeight="1" x14ac:dyDescent="0.2">
      <c r="A25" s="108" t="s">
        <v>69</v>
      </c>
      <c r="B25" s="259" t="s">
        <v>38</v>
      </c>
      <c r="C25" s="260" t="s">
        <v>41</v>
      </c>
      <c r="D25" s="327">
        <f>D26/D27</f>
        <v>9.3978248994570322E-3</v>
      </c>
      <c r="E25" s="328">
        <f>E26/E27</f>
        <v>2.1137432608506226E-2</v>
      </c>
      <c r="F25" s="328">
        <f t="shared" si="29"/>
        <v>1.1739607709049193E-2</v>
      </c>
      <c r="G25" s="658" t="s">
        <v>196</v>
      </c>
      <c r="H25" s="310">
        <f>H26/H27</f>
        <v>9.3978248994570322E-3</v>
      </c>
      <c r="I25" s="328">
        <v>3.5279106478399561E-2</v>
      </c>
      <c r="J25" s="328">
        <f t="shared" si="30"/>
        <v>2.5881281578942528E-2</v>
      </c>
      <c r="K25" s="658" t="s">
        <v>222</v>
      </c>
      <c r="L25" s="460">
        <v>9.3978246060006081E-3</v>
      </c>
      <c r="M25" s="467">
        <f>M26/M27</f>
        <v>7.1243753210966324E-3</v>
      </c>
      <c r="N25" s="467">
        <f t="shared" si="31"/>
        <v>-2.2734492849039757E-3</v>
      </c>
      <c r="O25" s="470"/>
      <c r="P25" s="311">
        <f>P26/P27</f>
        <v>9.3978248994570322E-3</v>
      </c>
      <c r="Q25" s="311">
        <f>Q26/Q27</f>
        <v>9.3978248994570322E-3</v>
      </c>
      <c r="R25" s="311">
        <f>R26/R27</f>
        <v>0.86654563698915699</v>
      </c>
      <c r="S25" s="310">
        <f>S26/S27</f>
        <v>1.7633391004063399</v>
      </c>
      <c r="T25" s="253">
        <f t="shared" si="32"/>
        <v>0.89679346341718291</v>
      </c>
      <c r="U25" s="339"/>
      <c r="V25" s="310">
        <f>V26/V27</f>
        <v>0.86654563698915699</v>
      </c>
      <c r="W25" s="310">
        <v>2.1699349318012766</v>
      </c>
      <c r="X25" s="253">
        <f t="shared" si="33"/>
        <v>1.3033892948121197</v>
      </c>
      <c r="Y25" s="339"/>
      <c r="Z25" s="462">
        <v>0.86654563698915699</v>
      </c>
      <c r="AA25" s="456">
        <f>AA26/AA27</f>
        <v>2.3020795394916753</v>
      </c>
      <c r="AB25" s="479">
        <f t="shared" si="34"/>
        <v>1.4355339025025184</v>
      </c>
      <c r="AC25" s="480"/>
      <c r="AD25" s="311">
        <f>AD26/AD27</f>
        <v>0.86654563698915699</v>
      </c>
      <c r="AE25" s="311">
        <f>AE26/AE27</f>
        <v>0.86654563698915699</v>
      </c>
      <c r="AF25" s="311">
        <f>AF26/AF27</f>
        <v>2.1082586114758395</v>
      </c>
      <c r="AG25" s="310">
        <f>AG26/AG27</f>
        <v>2.4802168480504911</v>
      </c>
      <c r="AH25" s="310">
        <f>AG25-AF25</f>
        <v>0.37195823657465166</v>
      </c>
      <c r="AI25" s="318"/>
      <c r="AJ25" s="310">
        <f>AJ26/AJ27</f>
        <v>2.1082586114758395</v>
      </c>
      <c r="AK25" s="310">
        <v>2.7706604985790459</v>
      </c>
      <c r="AL25" s="310">
        <f>AK25-AJ25</f>
        <v>0.66240188710320647</v>
      </c>
      <c r="AM25" s="318"/>
      <c r="AN25" s="462">
        <v>2.1082586114758395</v>
      </c>
      <c r="AO25" s="456">
        <f>AO26/AO27</f>
        <v>2.7141657389504115</v>
      </c>
      <c r="AP25" s="456">
        <f>AO25-AN25</f>
        <v>0.60590712747457198</v>
      </c>
      <c r="AQ25" s="497"/>
      <c r="AR25" s="311">
        <f>AR26/AR27</f>
        <v>2.1082586114758395</v>
      </c>
      <c r="AS25" s="311">
        <f>AS26/AS27</f>
        <v>2.1082586114758395</v>
      </c>
      <c r="AT25" s="311">
        <f>AT26/AT27</f>
        <v>0.1828759547184696</v>
      </c>
      <c r="AU25" s="310">
        <f>AU26/AU27</f>
        <v>0.47082479953939316</v>
      </c>
      <c r="AV25" s="310">
        <f>AU25-AT25</f>
        <v>0.28794884482092353</v>
      </c>
      <c r="AW25" s="318"/>
      <c r="AX25" s="310">
        <f>AX26/AX27</f>
        <v>0.1828759547184696</v>
      </c>
      <c r="AY25" s="310">
        <v>0.48364717070125779</v>
      </c>
      <c r="AZ25" s="310">
        <f>AY25-AX25</f>
        <v>0.30077121598278822</v>
      </c>
      <c r="BA25" s="318"/>
      <c r="BB25" s="462">
        <v>0.18287595471846962</v>
      </c>
      <c r="BC25" s="456">
        <f>BC26/BC27</f>
        <v>0.47473244034590151</v>
      </c>
      <c r="BD25" s="456">
        <f>BC25-BB25</f>
        <v>0.29185648562743188</v>
      </c>
      <c r="BE25" s="497"/>
      <c r="BF25" s="311">
        <f>BF26/BF27</f>
        <v>0.1828759547184696</v>
      </c>
      <c r="BG25" s="311">
        <f>BG26/BG27</f>
        <v>0.1828759547184696</v>
      </c>
      <c r="BH25" s="311">
        <f>BH26/BH27</f>
        <v>0.62538212325542808</v>
      </c>
      <c r="BI25" s="310">
        <f>BI26/BI27</f>
        <v>1.4654761468043054</v>
      </c>
      <c r="BJ25" s="310">
        <f>BI25-BH25</f>
        <v>0.8400940235488773</v>
      </c>
      <c r="BK25" s="340"/>
      <c r="BL25" s="341">
        <f>BL26/BL27</f>
        <v>0.62538212325542808</v>
      </c>
      <c r="BM25" s="310">
        <v>1.0188210721605335</v>
      </c>
      <c r="BN25" s="253">
        <f t="shared" si="35"/>
        <v>0.39343894890510545</v>
      </c>
      <c r="BO25" s="339"/>
      <c r="BP25" s="341">
        <v>0.62538212325542808</v>
      </c>
      <c r="BQ25" s="310">
        <f>BQ26/BQ27</f>
        <v>0.88683795390624465</v>
      </c>
      <c r="BR25" s="273">
        <f t="shared" si="36"/>
        <v>0.26145583065081657</v>
      </c>
      <c r="BS25" s="509"/>
      <c r="BT25" s="341">
        <f>BT26/BT27</f>
        <v>1.7540727064583554</v>
      </c>
      <c r="BU25" s="310">
        <f>BU26/BU27</f>
        <v>1.0599637282843222</v>
      </c>
      <c r="BV25" s="310">
        <f>BU25-BT25</f>
        <v>-0.69410897817403328</v>
      </c>
      <c r="BW25" s="340"/>
      <c r="BX25" s="341">
        <f>BX26/BX27</f>
        <v>1.7540727064583554</v>
      </c>
      <c r="BY25" s="310">
        <v>1.0980716398341228</v>
      </c>
      <c r="BZ25" s="253">
        <f t="shared" si="37"/>
        <v>-0.65600106662423263</v>
      </c>
      <c r="CA25" s="339"/>
      <c r="CB25" s="513">
        <v>1.7540727064583552</v>
      </c>
      <c r="CC25" s="456">
        <f>CC26/CC27</f>
        <v>1.0844516032242026</v>
      </c>
      <c r="CD25" s="479">
        <f t="shared" si="38"/>
        <v>-0.66962110323415258</v>
      </c>
      <c r="CE25" s="480"/>
      <c r="CF25" s="91"/>
      <c r="CG25" s="2"/>
      <c r="CH25" s="2"/>
      <c r="CI25" s="2"/>
    </row>
    <row r="26" spans="1:87" ht="88.5" customHeight="1" x14ac:dyDescent="0.2">
      <c r="A26" s="98" t="s">
        <v>33</v>
      </c>
      <c r="B26" s="259" t="s">
        <v>67</v>
      </c>
      <c r="C26" s="334" t="s">
        <v>77</v>
      </c>
      <c r="D26" s="271">
        <f>(106748.67*10%)/1000</f>
        <v>10.674867000000001</v>
      </c>
      <c r="E26" s="332">
        <v>21.632000000000001</v>
      </c>
      <c r="F26" s="332">
        <f t="shared" si="29"/>
        <v>10.957133000000001</v>
      </c>
      <c r="G26" s="659"/>
      <c r="H26" s="332">
        <f>D26</f>
        <v>10.674867000000001</v>
      </c>
      <c r="I26" s="332">
        <v>35.575000000000003</v>
      </c>
      <c r="J26" s="332">
        <f t="shared" si="30"/>
        <v>24.900133000000004</v>
      </c>
      <c r="K26" s="663"/>
      <c r="L26" s="461">
        <v>10.188276996295889</v>
      </c>
      <c r="M26" s="466">
        <v>7.6269999999999998</v>
      </c>
      <c r="N26" s="466">
        <f t="shared" si="31"/>
        <v>-2.5612769962958888</v>
      </c>
      <c r="O26" s="469"/>
      <c r="P26" s="273">
        <f>D26</f>
        <v>10.674867000000001</v>
      </c>
      <c r="Q26" s="273">
        <f>D26</f>
        <v>10.674867000000001</v>
      </c>
      <c r="R26" s="273">
        <f>34334/1000</f>
        <v>34.334000000000003</v>
      </c>
      <c r="S26" s="332">
        <f>85.694-21.461</f>
        <v>64.233000000000004</v>
      </c>
      <c r="T26" s="332">
        <f t="shared" si="32"/>
        <v>29.899000000000001</v>
      </c>
      <c r="U26" s="275" t="s">
        <v>197</v>
      </c>
      <c r="V26" s="253">
        <f>R26</f>
        <v>34.334000000000003</v>
      </c>
      <c r="W26" s="332">
        <v>62.518999999999998</v>
      </c>
      <c r="X26" s="332">
        <f t="shared" si="33"/>
        <v>28.184999999999995</v>
      </c>
      <c r="Y26" s="275" t="s">
        <v>223</v>
      </c>
      <c r="Z26" s="446">
        <v>32.473101910022152</v>
      </c>
      <c r="AA26" s="461">
        <f>ROUND((5.5*0.6*24*365/1000+39.843),3)</f>
        <v>68.751000000000005</v>
      </c>
      <c r="AB26" s="466">
        <f t="shared" si="34"/>
        <v>36.277898089977853</v>
      </c>
      <c r="AC26" s="478" t="s">
        <v>261</v>
      </c>
      <c r="AD26" s="273">
        <f>R26</f>
        <v>34.334000000000003</v>
      </c>
      <c r="AE26" s="273">
        <f>R26</f>
        <v>34.334000000000003</v>
      </c>
      <c r="AF26" s="273">
        <f>'[7]прил. электро'!$K$34</f>
        <v>41.499666666666663</v>
      </c>
      <c r="AG26" s="332">
        <f>58.441-13.204</f>
        <v>45.237000000000002</v>
      </c>
      <c r="AH26" s="332">
        <f>AG26-AF26</f>
        <v>3.7373333333333392</v>
      </c>
      <c r="AI26" s="275" t="s">
        <v>198</v>
      </c>
      <c r="AJ26" s="253">
        <f>AF26</f>
        <v>41.499666666666663</v>
      </c>
      <c r="AK26" s="332">
        <v>45.965000000000003</v>
      </c>
      <c r="AL26" s="332">
        <f>AK26-AJ26</f>
        <v>4.4653333333333407</v>
      </c>
      <c r="AM26" s="275"/>
      <c r="AN26" s="446">
        <v>39.95480432871134</v>
      </c>
      <c r="AO26" s="461">
        <f>59.118-(19.193/3*2)</f>
        <v>46.32266666666667</v>
      </c>
      <c r="AP26" s="466">
        <f>AO26-AN26</f>
        <v>6.3678623379553301</v>
      </c>
      <c r="AQ26" s="476"/>
      <c r="AR26" s="273">
        <f>AF26</f>
        <v>41.499666666666663</v>
      </c>
      <c r="AS26" s="273">
        <f>AF26</f>
        <v>41.499666666666663</v>
      </c>
      <c r="AT26" s="273">
        <v>5.9269999999999996</v>
      </c>
      <c r="AU26" s="332">
        <f>20.791-7.29</f>
        <v>13.501000000000001</v>
      </c>
      <c r="AV26" s="332">
        <f>AU26-AT26</f>
        <v>7.5740000000000016</v>
      </c>
      <c r="AW26" s="275" t="s">
        <v>199</v>
      </c>
      <c r="AX26" s="253">
        <f>AT26</f>
        <v>5.9269999999999996</v>
      </c>
      <c r="AY26" s="332">
        <v>12.998999999999999</v>
      </c>
      <c r="AZ26" s="332">
        <f>AY26-AX26</f>
        <v>7.0719999999999992</v>
      </c>
      <c r="BA26" s="275" t="s">
        <v>224</v>
      </c>
      <c r="BB26" s="446">
        <v>5.5979845780988162</v>
      </c>
      <c r="BC26" s="461">
        <f>16.352-8.56/(11+7.5+5.5)*11</f>
        <v>12.428666666666667</v>
      </c>
      <c r="BD26" s="466">
        <f>BC26-BB26</f>
        <v>6.8306820885678503</v>
      </c>
      <c r="BE26" s="476" t="s">
        <v>262</v>
      </c>
      <c r="BF26" s="273">
        <f>AT26</f>
        <v>5.9269999999999996</v>
      </c>
      <c r="BG26" s="273">
        <f>AT26</f>
        <v>5.9269999999999996</v>
      </c>
      <c r="BH26" s="273">
        <v>16.683070000000001</v>
      </c>
      <c r="BI26" s="332">
        <f>39.474-10.152</f>
        <v>29.321999999999996</v>
      </c>
      <c r="BJ26" s="332">
        <f>BI26-BH26</f>
        <v>12.638929999999995</v>
      </c>
      <c r="BK26" s="342" t="s">
        <v>200</v>
      </c>
      <c r="BL26" s="271">
        <f>'[4]долг парам'!$L$29</f>
        <v>15.361399302972318</v>
      </c>
      <c r="BM26" s="332">
        <v>20.288000000000004</v>
      </c>
      <c r="BN26" s="332">
        <f t="shared" si="35"/>
        <v>4.9266006970276859</v>
      </c>
      <c r="BO26" s="342" t="s">
        <v>200</v>
      </c>
      <c r="BP26" s="271">
        <v>14.208236568291568</v>
      </c>
      <c r="BQ26" s="332">
        <f>30.298-13.064</f>
        <v>17.233999999999998</v>
      </c>
      <c r="BR26" s="525">
        <f t="shared" si="36"/>
        <v>3.0257634317084303</v>
      </c>
      <c r="BS26" s="503"/>
      <c r="BT26" s="271">
        <v>48.194499999999998</v>
      </c>
      <c r="BU26" s="332">
        <f>36.014-8.458</f>
        <v>27.556000000000004</v>
      </c>
      <c r="BV26" s="332">
        <f>BU26-BT26</f>
        <v>-20.638499999999993</v>
      </c>
      <c r="BW26" s="342" t="s">
        <v>200</v>
      </c>
      <c r="BX26" s="271">
        <f>BT26</f>
        <v>48.194499999999998</v>
      </c>
      <c r="BY26" s="332">
        <v>27.097999999999999</v>
      </c>
      <c r="BZ26" s="332">
        <f t="shared" si="37"/>
        <v>-21.096499999999999</v>
      </c>
      <c r="CA26" s="342" t="s">
        <v>200</v>
      </c>
      <c r="CB26" s="528">
        <v>47.305958683889152</v>
      </c>
      <c r="CC26" s="461">
        <f>35.083-8.128</f>
        <v>26.954999999999998</v>
      </c>
      <c r="CD26" s="466">
        <f t="shared" si="38"/>
        <v>-20.350958683889154</v>
      </c>
      <c r="CE26" s="478" t="s">
        <v>200</v>
      </c>
      <c r="CF26" s="91"/>
      <c r="CG26" s="2"/>
      <c r="CH26" s="2"/>
      <c r="CI26" s="2"/>
    </row>
    <row r="27" spans="1:87" ht="15.75" x14ac:dyDescent="0.2">
      <c r="A27" s="109" t="s">
        <v>34</v>
      </c>
      <c r="B27" s="305" t="s">
        <v>68</v>
      </c>
      <c r="C27" s="343" t="s">
        <v>70</v>
      </c>
      <c r="D27" s="344">
        <f>D20</f>
        <v>1135.886986</v>
      </c>
      <c r="E27" s="316">
        <f>E20</f>
        <v>1023.397704</v>
      </c>
      <c r="F27" s="316">
        <f t="shared" si="29"/>
        <v>-112.489282</v>
      </c>
      <c r="G27" s="345"/>
      <c r="H27" s="316">
        <f>H20</f>
        <v>1135.886986</v>
      </c>
      <c r="I27" s="316">
        <v>1008.387217</v>
      </c>
      <c r="J27" s="316">
        <f t="shared" si="30"/>
        <v>-127.49976900000001</v>
      </c>
      <c r="K27" s="345"/>
      <c r="L27" s="463">
        <v>1084.1101450000001</v>
      </c>
      <c r="M27" s="463">
        <f>M24</f>
        <v>1070.55</v>
      </c>
      <c r="N27" s="463">
        <f t="shared" si="31"/>
        <v>-13.560145000000148</v>
      </c>
      <c r="O27" s="468"/>
      <c r="P27" s="346">
        <f>P20</f>
        <v>1135.886986</v>
      </c>
      <c r="Q27" s="346">
        <f>Q20</f>
        <v>1135.886986</v>
      </c>
      <c r="R27" s="346">
        <f>R20</f>
        <v>39.621687000000001</v>
      </c>
      <c r="S27" s="316">
        <f>'[6]раздел 2'!AA8/1000</f>
        <v>36.426912999999999</v>
      </c>
      <c r="T27" s="316">
        <f t="shared" si="32"/>
        <v>-3.1947740000000024</v>
      </c>
      <c r="U27" s="347"/>
      <c r="V27" s="316">
        <f>V20</f>
        <v>39.621687000000001</v>
      </c>
      <c r="W27" s="316">
        <v>28.811463</v>
      </c>
      <c r="X27" s="316">
        <f t="shared" si="33"/>
        <v>-10.810224000000002</v>
      </c>
      <c r="Y27" s="347"/>
      <c r="Z27" s="463">
        <v>37.474196999999997</v>
      </c>
      <c r="AA27" s="463">
        <v>29.864737000000002</v>
      </c>
      <c r="AB27" s="463">
        <f t="shared" si="34"/>
        <v>-7.609459999999995</v>
      </c>
      <c r="AC27" s="481"/>
      <c r="AD27" s="346">
        <f>AD20</f>
        <v>39.621687000000001</v>
      </c>
      <c r="AE27" s="346">
        <f>AE20</f>
        <v>39.621687000000001</v>
      </c>
      <c r="AF27" s="346">
        <f>AF20</f>
        <v>19.684334000000003</v>
      </c>
      <c r="AG27" s="316">
        <f>AG20</f>
        <v>18.239131</v>
      </c>
      <c r="AH27" s="316">
        <f>AG27-AF27</f>
        <v>-1.4452030000000029</v>
      </c>
      <c r="AI27" s="347"/>
      <c r="AJ27" s="316">
        <f>AJ20</f>
        <v>19.684334000000003</v>
      </c>
      <c r="AK27" s="316">
        <v>16.589907</v>
      </c>
      <c r="AL27" s="316">
        <f>AK27-AJ27</f>
        <v>-3.0944270000000031</v>
      </c>
      <c r="AM27" s="347"/>
      <c r="AN27" s="463">
        <v>18.951567000000001</v>
      </c>
      <c r="AO27" s="463">
        <f>AO20</f>
        <v>17.067</v>
      </c>
      <c r="AP27" s="463">
        <f>AO27-AN27</f>
        <v>-1.8845670000000005</v>
      </c>
      <c r="AQ27" s="481"/>
      <c r="AR27" s="346">
        <f>AR20</f>
        <v>19.684334000000003</v>
      </c>
      <c r="AS27" s="346">
        <f>AS20</f>
        <v>19.684334000000003</v>
      </c>
      <c r="AT27" s="346">
        <f>AT20</f>
        <v>32.409947000000003</v>
      </c>
      <c r="AU27" s="316">
        <f>AU20</f>
        <v>28.67521</v>
      </c>
      <c r="AV27" s="316">
        <f>AU27-AT27</f>
        <v>-3.7347370000000026</v>
      </c>
      <c r="AW27" s="347"/>
      <c r="AX27" s="316">
        <f>AX20</f>
        <v>32.409947000000003</v>
      </c>
      <c r="AY27" s="316">
        <v>26.877031000000002</v>
      </c>
      <c r="AZ27" s="316">
        <f>AY27-AX27</f>
        <v>-5.5329160000000002</v>
      </c>
      <c r="BA27" s="347"/>
      <c r="BB27" s="463">
        <v>30.610828999999995</v>
      </c>
      <c r="BC27" s="463">
        <f>BC20</f>
        <v>26.180361000000001</v>
      </c>
      <c r="BD27" s="463">
        <f>BC27-BB27</f>
        <v>-4.4304679999999941</v>
      </c>
      <c r="BE27" s="481"/>
      <c r="BF27" s="346">
        <f>BF20</f>
        <v>32.409947000000003</v>
      </c>
      <c r="BG27" s="346">
        <f>BG20</f>
        <v>32.409947000000003</v>
      </c>
      <c r="BH27" s="346">
        <f>BH20</f>
        <v>26.676602000000003</v>
      </c>
      <c r="BI27" s="316">
        <f>BI20</f>
        <v>20.008513999999998</v>
      </c>
      <c r="BJ27" s="316">
        <f>BI27-BH27</f>
        <v>-6.6680880000000045</v>
      </c>
      <c r="BK27" s="348"/>
      <c r="BL27" s="344">
        <f>BL20</f>
        <v>24.563220999999999</v>
      </c>
      <c r="BM27" s="316">
        <v>19.913212000000001</v>
      </c>
      <c r="BN27" s="316">
        <f t="shared" si="35"/>
        <v>-4.6500089999999972</v>
      </c>
      <c r="BO27" s="347"/>
      <c r="BP27" s="344">
        <v>22.719287999999999</v>
      </c>
      <c r="BQ27" s="316">
        <v>19.433088000000001</v>
      </c>
      <c r="BR27" s="346">
        <f t="shared" si="36"/>
        <v>-3.2861999999999973</v>
      </c>
      <c r="BS27" s="510"/>
      <c r="BT27" s="344">
        <f>BT20</f>
        <v>27.475771000000002</v>
      </c>
      <c r="BU27" s="316">
        <f>BU20</f>
        <v>25.997115999999998</v>
      </c>
      <c r="BV27" s="316">
        <f>BU27-BT27</f>
        <v>-1.4786550000000034</v>
      </c>
      <c r="BW27" s="348"/>
      <c r="BX27" s="344">
        <f>BX20</f>
        <v>27.475771000000002</v>
      </c>
      <c r="BY27" s="316">
        <v>24.677807000000001</v>
      </c>
      <c r="BZ27" s="316">
        <f t="shared" si="37"/>
        <v>-2.7979640000000003</v>
      </c>
      <c r="CA27" s="347"/>
      <c r="CB27" s="514">
        <v>26.969211999999999</v>
      </c>
      <c r="CC27" s="463">
        <v>24.855881</v>
      </c>
      <c r="CD27" s="463">
        <f t="shared" si="38"/>
        <v>-2.1133309999999987</v>
      </c>
      <c r="CE27" s="481"/>
      <c r="CF27" s="91"/>
      <c r="CG27" s="2"/>
      <c r="CH27" s="2"/>
      <c r="CI27" s="3"/>
    </row>
  </sheetData>
  <mergeCells count="70">
    <mergeCell ref="CB4:CC4"/>
    <mergeCell ref="CD4:CD5"/>
    <mergeCell ref="CE4:CE5"/>
    <mergeCell ref="L4:M4"/>
    <mergeCell ref="N4:N5"/>
    <mergeCell ref="O4:O5"/>
    <mergeCell ref="Z4:AA4"/>
    <mergeCell ref="R4:S4"/>
    <mergeCell ref="AV4:AV5"/>
    <mergeCell ref="BL4:BM4"/>
    <mergeCell ref="Y4:Y5"/>
    <mergeCell ref="AL4:AL5"/>
    <mergeCell ref="AI4:AI5"/>
    <mergeCell ref="V4:W4"/>
    <mergeCell ref="AH4:AH5"/>
    <mergeCell ref="AW4:AW5"/>
    <mergeCell ref="G25:G26"/>
    <mergeCell ref="B14:CE14"/>
    <mergeCell ref="D4:E4"/>
    <mergeCell ref="K25:K26"/>
    <mergeCell ref="B7:CE7"/>
    <mergeCell ref="B2:B5"/>
    <mergeCell ref="F4:F5"/>
    <mergeCell ref="K4:K5"/>
    <mergeCell ref="BW4:BW5"/>
    <mergeCell ref="B18:CE18"/>
    <mergeCell ref="G4:G5"/>
    <mergeCell ref="C2:C5"/>
    <mergeCell ref="X4:X5"/>
    <mergeCell ref="U4:U5"/>
    <mergeCell ref="J4:J5"/>
    <mergeCell ref="H4:I4"/>
    <mergeCell ref="AB4:AB5"/>
    <mergeCell ref="AC4:AC5"/>
    <mergeCell ref="AN4:AO4"/>
    <mergeCell ref="AP4:AP5"/>
    <mergeCell ref="AQ4:AQ5"/>
    <mergeCell ref="BH3:BS3"/>
    <mergeCell ref="BB4:BC4"/>
    <mergeCell ref="BD4:BD5"/>
    <mergeCell ref="BO4:BO5"/>
    <mergeCell ref="BV4:BV5"/>
    <mergeCell ref="AF4:AG4"/>
    <mergeCell ref="BZ4:BZ5"/>
    <mergeCell ref="AJ4:AK4"/>
    <mergeCell ref="AM4:AM5"/>
    <mergeCell ref="CA4:CA5"/>
    <mergeCell ref="BA4:BA5"/>
    <mergeCell ref="AZ4:AZ5"/>
    <mergeCell ref="BE4:BE5"/>
    <mergeCell ref="BP4:BQ4"/>
    <mergeCell ref="BR4:BR5"/>
    <mergeCell ref="BS4:BS5"/>
    <mergeCell ref="AT4:AU4"/>
    <mergeCell ref="A1:CE1"/>
    <mergeCell ref="D2:CE2"/>
    <mergeCell ref="D3:Q3"/>
    <mergeCell ref="R3:AE3"/>
    <mergeCell ref="AF3:AS3"/>
    <mergeCell ref="AT3:BG3"/>
    <mergeCell ref="A2:A5"/>
    <mergeCell ref="T4:T5"/>
    <mergeCell ref="BX4:BY4"/>
    <mergeCell ref="BT4:BU4"/>
    <mergeCell ref="AX4:AY4"/>
    <mergeCell ref="BJ4:BJ5"/>
    <mergeCell ref="BK4:BK5"/>
    <mergeCell ref="BH4:BI4"/>
    <mergeCell ref="BN4:BN5"/>
    <mergeCell ref="BT3:CE3"/>
  </mergeCells>
  <phoneticPr fontId="3" type="noConversion"/>
  <printOptions horizontalCentered="1"/>
  <pageMargins left="0.39370078740157483" right="0.39370078740157483" top="0.78740157480314965" bottom="0.19685039370078741" header="0" footer="0"/>
  <pageSetup paperSize="9" scale="41" fitToWidth="4" orientation="landscape" r:id="rId1"/>
  <headerFooter alignWithMargins="0"/>
  <colBreaks count="2" manualBreakCount="2">
    <brk id="25" max="26" man="1"/>
    <brk id="59" max="2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раздел 1</vt:lpstr>
      <vt:lpstr>раздел 2</vt:lpstr>
      <vt:lpstr>раздел 3</vt:lpstr>
      <vt:lpstr>раздел 4</vt:lpstr>
      <vt:lpstr>раздел 5</vt:lpstr>
      <vt:lpstr>'раздел 2'!Заголовки_для_печати</vt:lpstr>
      <vt:lpstr>'раздел 3'!Заголовки_для_печати</vt:lpstr>
      <vt:lpstr>'раздел 5'!Заголовки_для_печати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2021-04-05T02:39:08Z</cp:lastPrinted>
  <dcterms:created xsi:type="dcterms:W3CDTF">1996-10-08T23:32:33Z</dcterms:created>
  <dcterms:modified xsi:type="dcterms:W3CDTF">2022-06-06T04:22:00Z</dcterms:modified>
</cp:coreProperties>
</file>