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 codeName="ЭтаКнига" defaultThemeVersion="124226"/>
  <bookViews>
    <workbookView xWindow="15090" yWindow="0" windowWidth="13350" windowHeight="12330" tabRatio="894" activeTab="2"/>
  </bookViews>
  <sheets>
    <sheet name="раздел 1" sheetId="33" r:id="rId1"/>
    <sheet name="раздел 2" sheetId="43" r:id="rId2"/>
    <sheet name="раздел 3" sheetId="45" r:id="rId3"/>
    <sheet name="раздел 4" sheetId="56" r:id="rId4"/>
    <sheet name="раздел 5" sheetId="36" r:id="rId5"/>
  </sheets>
  <externalReferences>
    <externalReference r:id="rId6"/>
  </externalReferences>
  <definedNames>
    <definedName name="_xlnm.Print_Titles" localSheetId="1">'раздел 2'!$A:$C</definedName>
    <definedName name="_xlnm.Print_Titles" localSheetId="2">'раздел 3'!$4:$6</definedName>
    <definedName name="_xlnm.Print_Titles" localSheetId="4">'раздел 5'!$A:$C</definedName>
    <definedName name="_xlnm.Print_Area" localSheetId="1">'раздел 2'!$A$1:$DP$48</definedName>
    <definedName name="_xlnm.Print_Area" localSheetId="2">'раздел 3'!$A$1:$J$123</definedName>
    <definedName name="_xlnm.Print_Area" localSheetId="3">'раздел 4'!$A$1:$O$11</definedName>
    <definedName name="_xlnm.Print_Area" localSheetId="4">'раздел 5'!$A$1:$DA$27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0" i="45" l="1"/>
  <c r="H101" i="45"/>
  <c r="H84" i="45"/>
  <c r="E84" i="45"/>
  <c r="H65" i="45"/>
  <c r="E65" i="45"/>
  <c r="H49" i="45"/>
  <c r="E49" i="45"/>
  <c r="H30" i="45"/>
  <c r="E30" i="45"/>
  <c r="CY17" i="36" l="1"/>
  <c r="CY27" i="36"/>
  <c r="CX26" i="36"/>
  <c r="CY26" i="36" s="1"/>
  <c r="CX25" i="36"/>
  <c r="CY25" i="36" s="1"/>
  <c r="CX21" i="36"/>
  <c r="CY21" i="36" s="1"/>
  <c r="CX20" i="36"/>
  <c r="CY20" i="36" s="1"/>
  <c r="CH26" i="36"/>
  <c r="CG26" i="36"/>
  <c r="CH21" i="36"/>
  <c r="CG21" i="36"/>
  <c r="CG20" i="36"/>
  <c r="CH20" i="36" s="1"/>
  <c r="CG19" i="36"/>
  <c r="CH19" i="36" s="1"/>
  <c r="CH17" i="36"/>
  <c r="BP27" i="36"/>
  <c r="BQ27" i="36" s="1"/>
  <c r="BQ26" i="36"/>
  <c r="BP26" i="36"/>
  <c r="BP25" i="36" s="1"/>
  <c r="BQ25" i="36" s="1"/>
  <c r="BQ21" i="36"/>
  <c r="BQ20" i="36"/>
  <c r="BQ19" i="36"/>
  <c r="BP19" i="36"/>
  <c r="BQ17" i="36"/>
  <c r="AY27" i="36"/>
  <c r="AZ27" i="36" s="1"/>
  <c r="AY26" i="36"/>
  <c r="AZ26" i="36" s="1"/>
  <c r="AX25" i="36"/>
  <c r="AZ21" i="36"/>
  <c r="AZ20" i="36"/>
  <c r="AY19" i="36"/>
  <c r="AX19" i="36"/>
  <c r="AZ19" i="36" s="1"/>
  <c r="AI27" i="36"/>
  <c r="AH26" i="36"/>
  <c r="AI26" i="36" s="1"/>
  <c r="AG25" i="36"/>
  <c r="AH24" i="36"/>
  <c r="AI24" i="36" s="1"/>
  <c r="AH23" i="36"/>
  <c r="AI23" i="36" s="1"/>
  <c r="AG22" i="36"/>
  <c r="AI21" i="36"/>
  <c r="AI20" i="36"/>
  <c r="AH19" i="36"/>
  <c r="AI19" i="36" s="1"/>
  <c r="AG19" i="36"/>
  <c r="AI17" i="36"/>
  <c r="CY10" i="36"/>
  <c r="CY9" i="36"/>
  <c r="CH10" i="36"/>
  <c r="CH8" i="36"/>
  <c r="BQ12" i="36"/>
  <c r="BQ10" i="36"/>
  <c r="BQ9" i="36"/>
  <c r="AZ12" i="36"/>
  <c r="AZ10" i="36"/>
  <c r="AZ9" i="36"/>
  <c r="AI12" i="36"/>
  <c r="AI10" i="36"/>
  <c r="AI9" i="36"/>
  <c r="R17" i="36"/>
  <c r="R12" i="36"/>
  <c r="R10" i="36"/>
  <c r="R9" i="36"/>
  <c r="R26" i="36"/>
  <c r="Q24" i="36"/>
  <c r="R24" i="36" s="1"/>
  <c r="Q23" i="36"/>
  <c r="R23" i="36" s="1"/>
  <c r="R21" i="36"/>
  <c r="R20" i="36"/>
  <c r="Q19" i="36"/>
  <c r="CG27" i="36" l="1"/>
  <c r="CX19" i="36"/>
  <c r="CY19" i="36" s="1"/>
  <c r="AY25" i="36"/>
  <c r="AZ25" i="36" s="1"/>
  <c r="AH22" i="36"/>
  <c r="AI22" i="36" s="1"/>
  <c r="AH25" i="36"/>
  <c r="AI25" i="36" s="1"/>
  <c r="Q27" i="36"/>
  <c r="Q22" i="36"/>
  <c r="CG25" i="36" l="1"/>
  <c r="CH25" i="36" s="1"/>
  <c r="CH27" i="36"/>
  <c r="R27" i="36"/>
  <c r="Q25" i="36"/>
  <c r="S11" i="36"/>
  <c r="CI9" i="36" l="1"/>
  <c r="DA27" i="36"/>
  <c r="CU27" i="36"/>
  <c r="CO27" i="36"/>
  <c r="CQ27" i="36" s="1"/>
  <c r="CL27" i="36"/>
  <c r="CK27" i="36"/>
  <c r="CD27" i="36"/>
  <c r="BX27" i="36"/>
  <c r="BX25" i="36" s="1"/>
  <c r="BZ25" i="36" s="1"/>
  <c r="BU27" i="36"/>
  <c r="BV27" i="36" s="1"/>
  <c r="BT27" i="36"/>
  <c r="BS27" i="36"/>
  <c r="BL27" i="36"/>
  <c r="BM27" i="36" s="1"/>
  <c r="BG27" i="36"/>
  <c r="BI27" i="36" s="1"/>
  <c r="BD27" i="36"/>
  <c r="BC27" i="36"/>
  <c r="BC25" i="36" s="1"/>
  <c r="BB27" i="36"/>
  <c r="AU27" i="36"/>
  <c r="AV27" i="36" s="1"/>
  <c r="AP27" i="36"/>
  <c r="AR27" i="36" s="1"/>
  <c r="AM27" i="36"/>
  <c r="AL27" i="36"/>
  <c r="AK27" i="36"/>
  <c r="AE27" i="36"/>
  <c r="Y27" i="36"/>
  <c r="AA27" i="36" s="1"/>
  <c r="U27" i="36"/>
  <c r="W27" i="36" s="1"/>
  <c r="T27" i="36"/>
  <c r="M27" i="36"/>
  <c r="N27" i="36" s="1"/>
  <c r="J27" i="36"/>
  <c r="H27" i="36"/>
  <c r="E27" i="36"/>
  <c r="D27" i="36"/>
  <c r="F27" i="36" s="1"/>
  <c r="DA26" i="36"/>
  <c r="CU26" i="36"/>
  <c r="CO26" i="36"/>
  <c r="CQ26" i="36" s="1"/>
  <c r="CL26" i="36"/>
  <c r="CM26" i="36" s="1"/>
  <c r="CJ26" i="36"/>
  <c r="CD26" i="36"/>
  <c r="BZ26" i="36"/>
  <c r="BV26" i="36"/>
  <c r="BU26" i="36"/>
  <c r="BS26" i="36"/>
  <c r="BM26" i="36"/>
  <c r="BI26" i="36"/>
  <c r="BG26" i="36"/>
  <c r="BD26" i="36"/>
  <c r="BE26" i="36" s="1"/>
  <c r="BB26" i="36"/>
  <c r="AV26" i="36"/>
  <c r="AP26" i="36"/>
  <c r="AP25" i="36" s="1"/>
  <c r="AR25" i="36" s="1"/>
  <c r="AM26" i="36"/>
  <c r="AE26" i="36"/>
  <c r="V26" i="36"/>
  <c r="U26" i="36"/>
  <c r="Y26" i="36" s="1"/>
  <c r="N26" i="36"/>
  <c r="D26" i="36"/>
  <c r="D25" i="36" s="1"/>
  <c r="CW25" i="36"/>
  <c r="CT25" i="36"/>
  <c r="CU25" i="36" s="1"/>
  <c r="CO25" i="36"/>
  <c r="CQ25" i="36" s="1"/>
  <c r="CL25" i="36"/>
  <c r="CK25" i="36"/>
  <c r="CF25" i="36"/>
  <c r="CC25" i="36"/>
  <c r="CD25" i="36" s="1"/>
  <c r="BT25" i="36"/>
  <c r="BO25" i="36"/>
  <c r="BD25" i="36"/>
  <c r="AU25" i="36"/>
  <c r="AV25" i="36" s="1"/>
  <c r="AL25" i="36"/>
  <c r="AD25" i="36"/>
  <c r="AE25" i="36" s="1"/>
  <c r="V25" i="36"/>
  <c r="P25" i="36"/>
  <c r="R25" i="36" s="1"/>
  <c r="E25" i="36"/>
  <c r="CU24" i="36"/>
  <c r="CD24" i="36"/>
  <c r="AE24" i="36"/>
  <c r="AA24" i="36"/>
  <c r="W24" i="36"/>
  <c r="N24" i="36"/>
  <c r="J24" i="36"/>
  <c r="F24" i="36"/>
  <c r="CU23" i="36"/>
  <c r="CD23" i="36"/>
  <c r="AE23" i="36"/>
  <c r="AA23" i="36"/>
  <c r="W23" i="36"/>
  <c r="N23" i="36"/>
  <c r="J23" i="36"/>
  <c r="F23" i="36"/>
  <c r="E23" i="36"/>
  <c r="E22" i="36" s="1"/>
  <c r="F22" i="36" s="1"/>
  <c r="CT22" i="36"/>
  <c r="CU22" i="36" s="1"/>
  <c r="CC22" i="36"/>
  <c r="CD22" i="36" s="1"/>
  <c r="AK22" i="36"/>
  <c r="AD22" i="36"/>
  <c r="AE22" i="36" s="1"/>
  <c r="Y22" i="36"/>
  <c r="AA22" i="36" s="1"/>
  <c r="V22" i="36"/>
  <c r="U22" i="36"/>
  <c r="W22" i="36" s="1"/>
  <c r="T22" i="36"/>
  <c r="P22" i="36"/>
  <c r="R22" i="36" s="1"/>
  <c r="M22" i="36"/>
  <c r="N22" i="36" s="1"/>
  <c r="H22" i="36"/>
  <c r="J22" i="36" s="1"/>
  <c r="D22" i="36"/>
  <c r="CU21" i="36"/>
  <c r="CQ21" i="36"/>
  <c r="CM21" i="36"/>
  <c r="CJ21" i="36"/>
  <c r="CJ19" i="36" s="1"/>
  <c r="CD21" i="36"/>
  <c r="BZ21" i="36"/>
  <c r="BV21" i="36"/>
  <c r="BM21" i="36"/>
  <c r="BI21" i="36"/>
  <c r="BE21" i="36"/>
  <c r="AV21" i="36"/>
  <c r="AR21" i="36"/>
  <c r="AN21" i="36"/>
  <c r="AE21" i="36"/>
  <c r="AA21" i="36"/>
  <c r="W21" i="36"/>
  <c r="N21" i="36"/>
  <c r="J21" i="36"/>
  <c r="F21" i="36"/>
  <c r="CU20" i="36"/>
  <c r="CQ20" i="36"/>
  <c r="CM20" i="36"/>
  <c r="CJ20" i="36"/>
  <c r="CJ27" i="36" s="1"/>
  <c r="CD20" i="36"/>
  <c r="BZ20" i="36"/>
  <c r="BV20" i="36"/>
  <c r="BM20" i="36"/>
  <c r="BI20" i="36"/>
  <c r="BE20" i="36"/>
  <c r="AV20" i="36"/>
  <c r="AR20" i="36"/>
  <c r="AN20" i="36"/>
  <c r="AE20" i="36"/>
  <c r="AA20" i="36"/>
  <c r="W20" i="36"/>
  <c r="N20" i="36"/>
  <c r="J20" i="36"/>
  <c r="F20" i="36"/>
  <c r="DA19" i="36"/>
  <c r="CW19" i="36"/>
  <c r="CT19" i="36"/>
  <c r="CU19" i="36" s="1"/>
  <c r="CQ19" i="36"/>
  <c r="CO19" i="36"/>
  <c r="CL19" i="36"/>
  <c r="CM19" i="36" s="1"/>
  <c r="CK19" i="36"/>
  <c r="CF19" i="36"/>
  <c r="CC19" i="36"/>
  <c r="CD19" i="36" s="1"/>
  <c r="BX19" i="36"/>
  <c r="BZ19" i="36" s="1"/>
  <c r="BU19" i="36"/>
  <c r="BT19" i="36"/>
  <c r="BV19" i="36" s="1"/>
  <c r="BS19" i="36"/>
  <c r="BO19" i="36"/>
  <c r="BL19" i="36"/>
  <c r="BM19" i="36" s="1"/>
  <c r="BG19" i="36"/>
  <c r="BI19" i="36" s="1"/>
  <c r="BD19" i="36"/>
  <c r="BC19" i="36"/>
  <c r="BB19" i="36"/>
  <c r="AV19" i="36"/>
  <c r="AP19" i="36"/>
  <c r="AR19" i="36" s="1"/>
  <c r="AM19" i="36"/>
  <c r="AL19" i="36"/>
  <c r="AN19" i="36" s="1"/>
  <c r="AK19" i="36"/>
  <c r="AD19" i="36"/>
  <c r="AE19" i="36" s="1"/>
  <c r="AA19" i="36"/>
  <c r="Y19" i="36"/>
  <c r="V19" i="36"/>
  <c r="W19" i="36" s="1"/>
  <c r="U19" i="36"/>
  <c r="T19" i="36"/>
  <c r="P19" i="36"/>
  <c r="R19" i="36" s="1"/>
  <c r="N19" i="36"/>
  <c r="M19" i="36"/>
  <c r="H19" i="36"/>
  <c r="J19" i="36" s="1"/>
  <c r="E19" i="36"/>
  <c r="F19" i="36" s="1"/>
  <c r="D19" i="36"/>
  <c r="DA17" i="36"/>
  <c r="DA15" i="36" s="1"/>
  <c r="CS17" i="36"/>
  <c r="CU17" i="36" s="1"/>
  <c r="CQ17" i="36"/>
  <c r="CO17" i="36"/>
  <c r="CL17" i="36"/>
  <c r="CM17" i="36" s="1"/>
  <c r="CJ17" i="36"/>
  <c r="CJ15" i="36" s="1"/>
  <c r="CB17" i="36"/>
  <c r="CD17" i="36" s="1"/>
  <c r="BX17" i="36"/>
  <c r="BX15" i="36" s="1"/>
  <c r="BZ15" i="36" s="1"/>
  <c r="BU17" i="36"/>
  <c r="BV17" i="36" s="1"/>
  <c r="BS17" i="36"/>
  <c r="BO17" i="36"/>
  <c r="BO15" i="36" s="1"/>
  <c r="BK17" i="36"/>
  <c r="BM17" i="36" s="1"/>
  <c r="BG17" i="36"/>
  <c r="BG15" i="36" s="1"/>
  <c r="BI15" i="36" s="1"/>
  <c r="BD17" i="36"/>
  <c r="BE17" i="36" s="1"/>
  <c r="BB17" i="36"/>
  <c r="BB15" i="36" s="1"/>
  <c r="AX17" i="36"/>
  <c r="AX15" i="36" s="1"/>
  <c r="AT17" i="36"/>
  <c r="AV17" i="36" s="1"/>
  <c r="AP17" i="36"/>
  <c r="AR17" i="36" s="1"/>
  <c r="AN17" i="36"/>
  <c r="AK17" i="36"/>
  <c r="AK15" i="36" s="1"/>
  <c r="AC17" i="36"/>
  <c r="AC15" i="36" s="1"/>
  <c r="AE15" i="36" s="1"/>
  <c r="Y17" i="36"/>
  <c r="Y15" i="36" s="1"/>
  <c r="AA15" i="36" s="1"/>
  <c r="V17" i="36"/>
  <c r="W17" i="36" s="1"/>
  <c r="T17" i="36"/>
  <c r="L17" i="36"/>
  <c r="N17" i="36" s="1"/>
  <c r="I17" i="36"/>
  <c r="H17" i="36"/>
  <c r="H15" i="36" s="1"/>
  <c r="J15" i="36" s="1"/>
  <c r="E17" i="36"/>
  <c r="F17" i="36" s="1"/>
  <c r="CU16" i="36"/>
  <c r="CQ16" i="36"/>
  <c r="CM16" i="36"/>
  <c r="CF16" i="36"/>
  <c r="CD16" i="36"/>
  <c r="BZ16" i="36"/>
  <c r="BV16" i="36"/>
  <c r="BM16" i="36"/>
  <c r="BI16" i="36"/>
  <c r="BE16" i="36"/>
  <c r="AV16" i="36"/>
  <c r="AR16" i="36"/>
  <c r="AN16" i="36"/>
  <c r="AE16" i="36"/>
  <c r="AA16" i="36"/>
  <c r="W16" i="36"/>
  <c r="N16" i="36"/>
  <c r="J16" i="36"/>
  <c r="F16" i="36"/>
  <c r="CW15" i="36"/>
  <c r="CS15" i="36"/>
  <c r="CU15" i="36" s="1"/>
  <c r="CQ15" i="36"/>
  <c r="CO15" i="36"/>
  <c r="CK15" i="36"/>
  <c r="CM15" i="36" s="1"/>
  <c r="BT15" i="36"/>
  <c r="BV15" i="36" s="1"/>
  <c r="BS15" i="36"/>
  <c r="BM15" i="36"/>
  <c r="BK15" i="36"/>
  <c r="BC15" i="36"/>
  <c r="BE15" i="36" s="1"/>
  <c r="AP15" i="36"/>
  <c r="AR15" i="36" s="1"/>
  <c r="AN15" i="36"/>
  <c r="AL15" i="36"/>
  <c r="AG15" i="36"/>
  <c r="U15" i="36"/>
  <c r="W15" i="36" s="1"/>
  <c r="T15" i="36"/>
  <c r="P15" i="36"/>
  <c r="D15" i="36"/>
  <c r="F15" i="36" s="1"/>
  <c r="DA13" i="36"/>
  <c r="CW13" i="36"/>
  <c r="CY13" i="36" s="1"/>
  <c r="CS13" i="36"/>
  <c r="CU13" i="36" s="1"/>
  <c r="CO13" i="36"/>
  <c r="CQ13" i="36" s="1"/>
  <c r="CM13" i="36"/>
  <c r="CJ13" i="36"/>
  <c r="CB13" i="36"/>
  <c r="CD13" i="36" s="1"/>
  <c r="BX13" i="36"/>
  <c r="BZ13" i="36" s="1"/>
  <c r="BV13" i="36"/>
  <c r="BS13" i="36"/>
  <c r="BS11" i="36" s="1"/>
  <c r="BO13" i="36"/>
  <c r="BM13" i="36"/>
  <c r="BG13" i="36"/>
  <c r="BI13" i="36" s="1"/>
  <c r="BE13" i="36"/>
  <c r="BB13" i="36"/>
  <c r="AX13" i="36"/>
  <c r="AZ13" i="36" s="1"/>
  <c r="AV13" i="36"/>
  <c r="AP13" i="36"/>
  <c r="AP11" i="36" s="1"/>
  <c r="AN13" i="36"/>
  <c r="AK13" i="36"/>
  <c r="AK11" i="36" s="1"/>
  <c r="AG13" i="36"/>
  <c r="AI13" i="36" s="1"/>
  <c r="AE13" i="36"/>
  <c r="Y13" i="36"/>
  <c r="Y11" i="36" s="1"/>
  <c r="W13" i="36"/>
  <c r="T13" i="36"/>
  <c r="P13" i="36"/>
  <c r="R13" i="36" s="1"/>
  <c r="L13" i="36"/>
  <c r="N13" i="36" s="1"/>
  <c r="H13" i="36"/>
  <c r="J13" i="36" s="1"/>
  <c r="F13" i="36"/>
  <c r="DA12" i="36"/>
  <c r="CW12" i="36"/>
  <c r="CU12" i="36"/>
  <c r="CS12" i="36"/>
  <c r="CO12" i="36"/>
  <c r="CQ12" i="36" s="1"/>
  <c r="CM12" i="36"/>
  <c r="CJ12" i="36"/>
  <c r="CF12" i="36"/>
  <c r="CH12" i="36" s="1"/>
  <c r="CB12" i="36"/>
  <c r="CD12" i="36" s="1"/>
  <c r="BX12" i="36"/>
  <c r="BV12" i="36"/>
  <c r="BM12" i="36"/>
  <c r="BI12" i="36"/>
  <c r="BE12" i="36"/>
  <c r="AV12" i="36"/>
  <c r="AR12" i="36"/>
  <c r="AN12" i="36"/>
  <c r="AE12" i="36"/>
  <c r="AA12" i="36"/>
  <c r="W12" i="36"/>
  <c r="N12" i="36"/>
  <c r="J12" i="36"/>
  <c r="F12" i="36"/>
  <c r="DA11" i="36"/>
  <c r="CP11" i="36"/>
  <c r="CK11" i="36"/>
  <c r="CM11" i="36" s="1"/>
  <c r="CF11" i="36"/>
  <c r="CH11" i="36" s="1"/>
  <c r="BY11" i="36"/>
  <c r="BT11" i="36"/>
  <c r="BV11" i="36" s="1"/>
  <c r="BM11" i="36"/>
  <c r="BH11" i="36"/>
  <c r="BG11" i="36"/>
  <c r="BE11" i="36"/>
  <c r="BC11" i="36"/>
  <c r="BB11" i="36"/>
  <c r="AV11" i="36"/>
  <c r="AQ11" i="36"/>
  <c r="AL11" i="36"/>
  <c r="AN11" i="36" s="1"/>
  <c r="AG11" i="36"/>
  <c r="AI11" i="36" s="1"/>
  <c r="AE11" i="36"/>
  <c r="Z11" i="36"/>
  <c r="U11" i="36"/>
  <c r="W11" i="36" s="1"/>
  <c r="T11" i="36"/>
  <c r="N11" i="36"/>
  <c r="I11" i="36"/>
  <c r="F11" i="36"/>
  <c r="D11" i="36"/>
  <c r="CU10" i="36"/>
  <c r="CQ10" i="36"/>
  <c r="CM10" i="36"/>
  <c r="CD10" i="36"/>
  <c r="BZ10" i="36"/>
  <c r="BV10" i="36"/>
  <c r="BM10" i="36"/>
  <c r="BI10" i="36"/>
  <c r="BE10" i="36"/>
  <c r="AV10" i="36"/>
  <c r="AR10" i="36"/>
  <c r="AN10" i="36"/>
  <c r="AE10" i="36"/>
  <c r="AA10" i="36"/>
  <c r="W10" i="36"/>
  <c r="N10" i="36"/>
  <c r="J10" i="36"/>
  <c r="F10" i="36"/>
  <c r="CU9" i="36"/>
  <c r="CQ9" i="36"/>
  <c r="CM9" i="36"/>
  <c r="CF9" i="36"/>
  <c r="CH9" i="36" s="1"/>
  <c r="CD9" i="36"/>
  <c r="BZ9" i="36"/>
  <c r="BV9" i="36"/>
  <c r="BM9" i="36"/>
  <c r="BI9" i="36"/>
  <c r="BE9" i="36"/>
  <c r="AV9" i="36"/>
  <c r="AR9" i="36"/>
  <c r="AN9" i="36"/>
  <c r="AE9" i="36"/>
  <c r="AA9" i="36"/>
  <c r="W9" i="36"/>
  <c r="N9" i="36"/>
  <c r="J9" i="36"/>
  <c r="F9" i="36"/>
  <c r="DA8" i="36"/>
  <c r="CW8" i="36"/>
  <c r="CY8" i="36" s="1"/>
  <c r="CS8" i="36"/>
  <c r="CU8" i="36" s="1"/>
  <c r="CP8" i="36"/>
  <c r="CQ8" i="36" s="1"/>
  <c r="CO8" i="36"/>
  <c r="CK8" i="36"/>
  <c r="CM8" i="36" s="1"/>
  <c r="CJ8" i="36"/>
  <c r="CB8" i="36"/>
  <c r="CD8" i="36" s="1"/>
  <c r="BY8" i="36"/>
  <c r="BZ8" i="36" s="1"/>
  <c r="BX8" i="36"/>
  <c r="BT8" i="36"/>
  <c r="BV8" i="36" s="1"/>
  <c r="BS8" i="36"/>
  <c r="BO8" i="36"/>
  <c r="BQ8" i="36" s="1"/>
  <c r="BM8" i="36"/>
  <c r="BH8" i="36"/>
  <c r="BG8" i="36"/>
  <c r="BC8" i="36"/>
  <c r="BE8" i="36" s="1"/>
  <c r="BB8" i="36"/>
  <c r="AX8" i="36"/>
  <c r="AZ8" i="36" s="1"/>
  <c r="AV8" i="36"/>
  <c r="AQ8" i="36"/>
  <c r="AP8" i="36"/>
  <c r="AL8" i="36"/>
  <c r="AN8" i="36" s="1"/>
  <c r="AK8" i="36"/>
  <c r="AG8" i="36"/>
  <c r="AI8" i="36" s="1"/>
  <c r="AE8" i="36"/>
  <c r="Z8" i="36"/>
  <c r="AA8" i="36" s="1"/>
  <c r="Y8" i="36"/>
  <c r="U8" i="36"/>
  <c r="W8" i="36" s="1"/>
  <c r="T8" i="36"/>
  <c r="P8" i="36"/>
  <c r="R8" i="36" s="1"/>
  <c r="L8" i="36"/>
  <c r="N8" i="36" s="1"/>
  <c r="I8" i="36"/>
  <c r="J8" i="36" s="1"/>
  <c r="H8" i="36"/>
  <c r="D8" i="36"/>
  <c r="F8" i="36" s="1"/>
  <c r="DA6" i="36"/>
  <c r="CJ6" i="36"/>
  <c r="BS6" i="36"/>
  <c r="BB6" i="36"/>
  <c r="AK6" i="36"/>
  <c r="T6" i="36"/>
  <c r="B6" i="36"/>
  <c r="C6" i="36" s="1"/>
  <c r="D6" i="36" s="1"/>
  <c r="CS4" i="36"/>
  <c r="CB4" i="36"/>
  <c r="BK4" i="36"/>
  <c r="AT4" i="36"/>
  <c r="AC4" i="36"/>
  <c r="AR13" i="36" l="1"/>
  <c r="AA11" i="36"/>
  <c r="H11" i="36"/>
  <c r="AA13" i="36"/>
  <c r="P11" i="36"/>
  <c r="R11" i="36" s="1"/>
  <c r="CW11" i="36"/>
  <c r="CY11" i="36" s="1"/>
  <c r="CY12" i="36"/>
  <c r="L15" i="36"/>
  <c r="N15" i="36" s="1"/>
  <c r="AN25" i="36"/>
  <c r="AR11" i="36"/>
  <c r="AT15" i="36"/>
  <c r="AV15" i="36" s="1"/>
  <c r="BI8" i="36"/>
  <c r="AM25" i="36"/>
  <c r="AN26" i="36"/>
  <c r="AR26" i="36"/>
  <c r="AA17" i="36"/>
  <c r="BI11" i="36"/>
  <c r="BX11" i="36"/>
  <c r="BZ11" i="36" s="1"/>
  <c r="AR8" i="36"/>
  <c r="CJ11" i="36"/>
  <c r="BZ17" i="36"/>
  <c r="F25" i="36"/>
  <c r="M25" i="36"/>
  <c r="N25" i="36" s="1"/>
  <c r="BG25" i="36"/>
  <c r="BI25" i="36" s="1"/>
  <c r="DA25" i="36"/>
  <c r="BL25" i="36"/>
  <c r="BM25" i="36" s="1"/>
  <c r="W26" i="36"/>
  <c r="CB11" i="36"/>
  <c r="CD11" i="36" s="1"/>
  <c r="J11" i="36"/>
  <c r="CS11" i="36"/>
  <c r="CU11" i="36" s="1"/>
  <c r="CJ25" i="36"/>
  <c r="BS25" i="36"/>
  <c r="AX11" i="36"/>
  <c r="AZ11" i="36" s="1"/>
  <c r="CF13" i="36"/>
  <c r="CH13" i="36" s="1"/>
  <c r="BQ13" i="36"/>
  <c r="AK26" i="36"/>
  <c r="AK25" i="36" s="1"/>
  <c r="BU25" i="36"/>
  <c r="BB25" i="36"/>
  <c r="CM27" i="36"/>
  <c r="CM25" i="36"/>
  <c r="BE25" i="36"/>
  <c r="AN27" i="36"/>
  <c r="BE19" i="36"/>
  <c r="BV25" i="36"/>
  <c r="Y25" i="36"/>
  <c r="AA25" i="36" s="1"/>
  <c r="AA26" i="36"/>
  <c r="BZ12" i="36"/>
  <c r="BI17" i="36"/>
  <c r="F26" i="36"/>
  <c r="AE17" i="36"/>
  <c r="BZ27" i="36"/>
  <c r="J17" i="36"/>
  <c r="H26" i="36"/>
  <c r="BE27" i="36"/>
  <c r="BO11" i="36"/>
  <c r="BQ11" i="36" s="1"/>
  <c r="U25" i="36"/>
  <c r="W25" i="36" s="1"/>
  <c r="CO11" i="36"/>
  <c r="CQ11" i="36" s="1"/>
  <c r="CB15" i="36"/>
  <c r="CD15" i="36" s="1"/>
  <c r="T26" i="36"/>
  <c r="T25" i="36" s="1"/>
  <c r="H25" i="36" l="1"/>
  <c r="J25" i="36" s="1"/>
  <c r="J26" i="36"/>
  <c r="E101" i="45" l="1"/>
  <c r="I84" i="45" l="1"/>
  <c r="I65" i="45" l="1"/>
  <c r="E120" i="45"/>
  <c r="E86" i="45" l="1"/>
  <c r="E103" i="45"/>
  <c r="I120" i="45" l="1"/>
  <c r="I101" i="45" l="1"/>
  <c r="H103" i="45" l="1"/>
  <c r="I103" i="45" s="1"/>
  <c r="H86" i="45"/>
  <c r="H67" i="45"/>
  <c r="I67" i="45" s="1"/>
  <c r="I86" i="45" l="1"/>
  <c r="I49" i="45" l="1"/>
  <c r="I30" i="45" l="1"/>
  <c r="E44" i="45" l="1"/>
  <c r="H44" i="45"/>
  <c r="I44" i="45"/>
  <c r="I51" i="45"/>
  <c r="E25" i="45" l="1"/>
  <c r="L13" i="43" l="1"/>
  <c r="L17" i="43" s="1"/>
  <c r="L14" i="43"/>
  <c r="I111" i="45" l="1"/>
  <c r="I95" i="45"/>
  <c r="I77" i="45"/>
  <c r="I58" i="45"/>
  <c r="I19" i="45"/>
  <c r="K36" i="43"/>
  <c r="K35" i="43"/>
  <c r="K34" i="43" s="1"/>
  <c r="J34" i="43"/>
  <c r="I34" i="43"/>
  <c r="K33" i="43"/>
  <c r="K32" i="43"/>
  <c r="J31" i="43"/>
  <c r="I31" i="43"/>
  <c r="K27" i="43"/>
  <c r="K26" i="43"/>
  <c r="K25" i="43"/>
  <c r="K24" i="43" s="1"/>
  <c r="J25" i="43"/>
  <c r="I25" i="43"/>
  <c r="I24" i="43" s="1"/>
  <c r="I23" i="43" s="1"/>
  <c r="J24" i="43"/>
  <c r="J23" i="43" s="1"/>
  <c r="J20" i="43"/>
  <c r="J21" i="43" s="1"/>
  <c r="J18" i="43" s="1"/>
  <c r="I20" i="43"/>
  <c r="I21" i="43" s="1"/>
  <c r="K19" i="43"/>
  <c r="K16" i="43"/>
  <c r="K15" i="43"/>
  <c r="K14" i="43"/>
  <c r="J14" i="43"/>
  <c r="I14" i="43"/>
  <c r="J13" i="43"/>
  <c r="J17" i="43" s="1"/>
  <c r="I13" i="43"/>
  <c r="K12" i="43"/>
  <c r="K11" i="43"/>
  <c r="K13" i="43" l="1"/>
  <c r="K17" i="43" s="1"/>
  <c r="I17" i="43"/>
  <c r="J22" i="43"/>
  <c r="K31" i="43"/>
  <c r="K23" i="43" s="1"/>
  <c r="I18" i="43"/>
  <c r="I22" i="43" s="1"/>
  <c r="K21" i="43"/>
  <c r="K20" i="43"/>
  <c r="K18" i="43" s="1"/>
  <c r="K22" i="43" s="1"/>
  <c r="M4" i="56" l="1"/>
  <c r="H35" i="43" l="1"/>
  <c r="H26" i="43"/>
  <c r="I116" i="45"/>
  <c r="H116" i="45"/>
  <c r="I97" i="45"/>
  <c r="H97" i="45"/>
  <c r="I80" i="45"/>
  <c r="H80" i="45"/>
  <c r="I60" i="45"/>
  <c r="H60" i="45"/>
  <c r="I25" i="45"/>
  <c r="E116" i="45"/>
  <c r="E80" i="45"/>
  <c r="E97" i="45"/>
  <c r="E60" i="45"/>
  <c r="H25" i="45" l="1"/>
  <c r="H110" i="45" l="1"/>
  <c r="E110" i="45"/>
  <c r="I106" i="45"/>
  <c r="I105" i="45"/>
  <c r="H94" i="45"/>
  <c r="E94" i="45"/>
  <c r="I88" i="45"/>
  <c r="H76" i="45"/>
  <c r="E76" i="45"/>
  <c r="I73" i="45"/>
  <c r="I72" i="45"/>
  <c r="I71" i="45"/>
  <c r="I70" i="45"/>
  <c r="I69" i="45"/>
  <c r="H57" i="45"/>
  <c r="E57" i="45"/>
  <c r="H38" i="45"/>
  <c r="E38" i="45"/>
  <c r="I34" i="45"/>
  <c r="I33" i="45"/>
  <c r="H18" i="45"/>
  <c r="E18" i="45"/>
  <c r="I12" i="45"/>
  <c r="I11" i="45"/>
  <c r="I10" i="45"/>
  <c r="I9" i="45"/>
  <c r="I8" i="45"/>
  <c r="I7" i="45"/>
  <c r="G11" i="43"/>
  <c r="G12" i="43"/>
  <c r="G15" i="43"/>
  <c r="G16" i="43"/>
  <c r="G19" i="43"/>
  <c r="G20" i="43"/>
  <c r="G21" i="43"/>
  <c r="E35" i="43"/>
  <c r="F35" i="43"/>
  <c r="G36" i="43"/>
  <c r="E32" i="43"/>
  <c r="E31" i="43" s="1"/>
  <c r="F32" i="43"/>
  <c r="G33" i="43"/>
  <c r="G26" i="43"/>
  <c r="G27" i="43"/>
  <c r="F25" i="43"/>
  <c r="F24" i="43" s="1"/>
  <c r="E25" i="43"/>
  <c r="E24" i="43" s="1"/>
  <c r="F13" i="43"/>
  <c r="F14" i="43"/>
  <c r="F18" i="43"/>
  <c r="E13" i="43"/>
  <c r="E14" i="43"/>
  <c r="E18" i="43"/>
  <c r="D18" i="43"/>
  <c r="D34" i="43"/>
  <c r="D31" i="43"/>
  <c r="D24" i="43"/>
  <c r="D14" i="43"/>
  <c r="I7" i="43"/>
  <c r="J7" i="43" s="1"/>
  <c r="K7" i="43" s="1"/>
  <c r="T7" i="43" s="1"/>
  <c r="U7" i="43" s="1"/>
  <c r="V7" i="43" s="1"/>
  <c r="W7" i="43" s="1"/>
  <c r="X7" i="43" s="1"/>
  <c r="Y7" i="43" s="1"/>
  <c r="Z7" i="43" s="1"/>
  <c r="AA7" i="43" s="1"/>
  <c r="AB7" i="43" s="1"/>
  <c r="AC7" i="43" s="1"/>
  <c r="AD7" i="43" s="1"/>
  <c r="AE7" i="43" s="1"/>
  <c r="Q7" i="43"/>
  <c r="R7" i="43" s="1"/>
  <c r="S7" i="43" s="1"/>
  <c r="O36" i="43"/>
  <c r="O35" i="43"/>
  <c r="O34" i="43" s="1"/>
  <c r="N34" i="43"/>
  <c r="M34" i="43"/>
  <c r="O33" i="43"/>
  <c r="O32" i="43"/>
  <c r="O31" i="43" s="1"/>
  <c r="N31" i="43"/>
  <c r="N25" i="43"/>
  <c r="N24" i="43" s="1"/>
  <c r="M31" i="43"/>
  <c r="M25" i="43"/>
  <c r="M24" i="43" s="1"/>
  <c r="M23" i="43" s="1"/>
  <c r="O27" i="43"/>
  <c r="O26" i="43"/>
  <c r="N13" i="43"/>
  <c r="N17" i="43" s="1"/>
  <c r="N22" i="43" s="1"/>
  <c r="O21" i="43"/>
  <c r="O20" i="43"/>
  <c r="O19" i="43"/>
  <c r="M13" i="43"/>
  <c r="M17" i="43" s="1"/>
  <c r="M22" i="43" s="1"/>
  <c r="O16" i="43"/>
  <c r="O15" i="43"/>
  <c r="O12" i="43"/>
  <c r="O11" i="43"/>
  <c r="M7" i="43"/>
  <c r="N7" i="43" s="1"/>
  <c r="O7" i="43" s="1"/>
  <c r="DS34" i="43"/>
  <c r="DR34" i="43"/>
  <c r="DQ34" i="43"/>
  <c r="DS31" i="43"/>
  <c r="DR31" i="43"/>
  <c r="DQ31" i="43"/>
  <c r="DS25" i="43"/>
  <c r="DS24" i="43" s="1"/>
  <c r="DR25" i="43"/>
  <c r="DR24" i="43" s="1"/>
  <c r="DQ25" i="43"/>
  <c r="DQ24" i="43" s="1"/>
  <c r="DS18" i="43"/>
  <c r="DR18" i="43"/>
  <c r="DQ18" i="43"/>
  <c r="DS14" i="43"/>
  <c r="DR14" i="43"/>
  <c r="DQ14" i="43"/>
  <c r="DS13" i="43"/>
  <c r="DR13" i="43"/>
  <c r="DR17" i="43" s="1"/>
  <c r="DQ13" i="43"/>
  <c r="H36" i="43"/>
  <c r="H34" i="43" s="1"/>
  <c r="H32" i="43"/>
  <c r="H33" i="43"/>
  <c r="DP33" i="43"/>
  <c r="H27" i="43"/>
  <c r="DP30" i="43"/>
  <c r="DP28" i="43" s="1"/>
  <c r="DP24" i="43" s="1"/>
  <c r="H11" i="43"/>
  <c r="H12" i="43"/>
  <c r="H15" i="43"/>
  <c r="H14" i="43" s="1"/>
  <c r="H19" i="43"/>
  <c r="H20" i="43"/>
  <c r="H21" i="43"/>
  <c r="DP10" i="43"/>
  <c r="DP8" i="43" s="1"/>
  <c r="DP12" i="43"/>
  <c r="DP19" i="43"/>
  <c r="DP35" i="43"/>
  <c r="D7" i="43"/>
  <c r="DP11" i="43"/>
  <c r="D13" i="43"/>
  <c r="D17" i="43"/>
  <c r="E38" i="43"/>
  <c r="E39" i="43"/>
  <c r="F42" i="43"/>
  <c r="F43" i="43"/>
  <c r="F45" i="43"/>
  <c r="E46" i="43"/>
  <c r="E48" i="43"/>
  <c r="F48" i="43"/>
  <c r="G48" i="43"/>
  <c r="G14" i="43"/>
  <c r="CF57" i="43" l="1"/>
  <c r="CF58" i="43"/>
  <c r="CF61" i="43"/>
  <c r="CF62" i="43"/>
  <c r="CF64" i="43"/>
  <c r="CF65" i="43"/>
  <c r="O13" i="43"/>
  <c r="CG59" i="43"/>
  <c r="CG58" i="43"/>
  <c r="CG60" i="43"/>
  <c r="N23" i="43"/>
  <c r="DR23" i="43"/>
  <c r="DS23" i="43"/>
  <c r="I38" i="45"/>
  <c r="I94" i="45"/>
  <c r="I57" i="45"/>
  <c r="I110" i="45"/>
  <c r="I18" i="45"/>
  <c r="D22" i="43"/>
  <c r="H25" i="43"/>
  <c r="H24" i="43" s="1"/>
  <c r="DP13" i="43"/>
  <c r="F46" i="43"/>
  <c r="DQ23" i="43"/>
  <c r="O14" i="43"/>
  <c r="O17" i="43" s="1"/>
  <c r="G18" i="43"/>
  <c r="F17" i="43"/>
  <c r="F22" i="43" s="1"/>
  <c r="DR22" i="43"/>
  <c r="H31" i="43"/>
  <c r="G35" i="43"/>
  <c r="G34" i="43" s="1"/>
  <c r="DQ17" i="43"/>
  <c r="DQ22" i="43" s="1"/>
  <c r="E34" i="43"/>
  <c r="E23" i="43" s="1"/>
  <c r="G32" i="43"/>
  <c r="G13" i="43"/>
  <c r="G17" i="43" s="1"/>
  <c r="O18" i="43"/>
  <c r="F34" i="43"/>
  <c r="DS17" i="43"/>
  <c r="DS22" i="43" s="1"/>
  <c r="G31" i="43"/>
  <c r="AF7" i="43"/>
  <c r="AG7" i="43" s="1"/>
  <c r="AH7" i="43" s="1"/>
  <c r="AI7" i="43" s="1"/>
  <c r="AK7" i="43" s="1"/>
  <c r="AL7" i="43" s="1"/>
  <c r="AM7" i="43" s="1"/>
  <c r="AN7" i="43"/>
  <c r="AO7" i="43" s="1"/>
  <c r="AP7" i="43" s="1"/>
  <c r="AQ7" i="43" s="1"/>
  <c r="AR7" i="43" s="1"/>
  <c r="AS7" i="43" s="1"/>
  <c r="AT7" i="43" s="1"/>
  <c r="AU7" i="43" s="1"/>
  <c r="AV7" i="43" s="1"/>
  <c r="AW7" i="43" s="1"/>
  <c r="AX7" i="43" s="1"/>
  <c r="AY7" i="43" s="1"/>
  <c r="H18" i="43"/>
  <c r="H13" i="43"/>
  <c r="H17" i="43" s="1"/>
  <c r="H22" i="43" s="1"/>
  <c r="G25" i="43"/>
  <c r="G24" i="43" s="1"/>
  <c r="D23" i="43"/>
  <c r="F31" i="43"/>
  <c r="DP15" i="43"/>
  <c r="DP14" i="43" s="1"/>
  <c r="DP36" i="43"/>
  <c r="DP34" i="43" s="1"/>
  <c r="O25" i="43"/>
  <c r="O24" i="43" s="1"/>
  <c r="O23" i="43" s="1"/>
  <c r="DP20" i="43"/>
  <c r="DP21" i="43"/>
  <c r="DP32" i="43"/>
  <c r="DP31" i="43" s="1"/>
  <c r="E17" i="43"/>
  <c r="I76" i="45"/>
  <c r="DP23" i="43" l="1"/>
  <c r="O22" i="43"/>
  <c r="DP17" i="43"/>
  <c r="H23" i="43"/>
  <c r="G23" i="43"/>
  <c r="DP18" i="43"/>
  <c r="F23" i="43"/>
  <c r="G22" i="43"/>
  <c r="BH7" i="43"/>
  <c r="BI7" i="43" s="1"/>
  <c r="BJ7" i="43" s="1"/>
  <c r="BK7" i="43" s="1"/>
  <c r="BL7" i="43" s="1"/>
  <c r="BM7" i="43" s="1"/>
  <c r="BN7" i="43" s="1"/>
  <c r="BO7" i="43" s="1"/>
  <c r="BP7" i="43" s="1"/>
  <c r="BQ7" i="43" s="1"/>
  <c r="BR7" i="43" s="1"/>
  <c r="BS7" i="43" s="1"/>
  <c r="AZ7" i="43"/>
  <c r="BA7" i="43" s="1"/>
  <c r="BB7" i="43" s="1"/>
  <c r="BC7" i="43" s="1"/>
  <c r="BE7" i="43" s="1"/>
  <c r="BF7" i="43" s="1"/>
  <c r="BG7" i="43" s="1"/>
  <c r="E50" i="43"/>
  <c r="E52" i="43" s="1"/>
  <c r="E22" i="43"/>
  <c r="DP22" i="43" l="1"/>
  <c r="CB7" i="43"/>
  <c r="CC7" i="43" s="1"/>
  <c r="CD7" i="43" s="1"/>
  <c r="CE7" i="43" s="1"/>
  <c r="CF7" i="43" s="1"/>
  <c r="CG7" i="43" s="1"/>
  <c r="CH7" i="43" s="1"/>
  <c r="CI7" i="43" s="1"/>
  <c r="CJ7" i="43" s="1"/>
  <c r="BT7" i="43"/>
  <c r="BU7" i="43" s="1"/>
  <c r="BV7" i="43" s="1"/>
  <c r="BW7" i="43" s="1"/>
  <c r="BY7" i="43" s="1"/>
  <c r="BZ7" i="43" s="1"/>
  <c r="CA7" i="43" s="1"/>
  <c r="CV7" i="43" l="1"/>
  <c r="CZ7" i="43" s="1"/>
  <c r="DA7" i="43" s="1"/>
  <c r="DB7" i="43" s="1"/>
  <c r="DC7" i="43" s="1"/>
  <c r="DD7" i="43" s="1"/>
  <c r="DE7" i="43" s="1"/>
  <c r="DF7" i="43" s="1"/>
  <c r="DG7" i="43" s="1"/>
  <c r="CK7" i="43"/>
  <c r="CL7" i="43" s="1"/>
  <c r="CM7" i="43" s="1"/>
  <c r="CN7" i="43" s="1"/>
  <c r="CO7" i="43" s="1"/>
  <c r="CP7" i="43" s="1"/>
  <c r="CQ7" i="43" s="1"/>
  <c r="CS7" i="43" s="1"/>
  <c r="CT7" i="43" s="1"/>
  <c r="CU7" i="43" s="1"/>
  <c r="DP7" i="43" l="1"/>
  <c r="DQ7" i="43" s="1"/>
  <c r="DR7" i="43" s="1"/>
  <c r="DS7" i="43" s="1"/>
  <c r="DH7" i="43"/>
  <c r="DI7" i="43" s="1"/>
  <c r="DJ7" i="43" s="1"/>
  <c r="DK7" i="43" s="1"/>
  <c r="DM7" i="43" s="1"/>
  <c r="DN7" i="43" s="1"/>
  <c r="DO7" i="43" s="1"/>
</calcChain>
</file>

<file path=xl/comments1.xml><?xml version="1.0" encoding="utf-8"?>
<comments xmlns="http://schemas.openxmlformats.org/spreadsheetml/2006/main">
  <authors>
    <author>Сударинена Ольга Сергеевна</author>
  </authors>
  <commentList>
    <comment ref="S11" authorId="0">
      <text>
        <r>
          <rPr>
            <b/>
            <sz val="8"/>
            <color indexed="81"/>
            <rFont val="Tahoma"/>
            <family val="2"/>
            <charset val="204"/>
          </rPr>
          <t>Сударинена Ольга Сергеевна:</t>
        </r>
        <r>
          <rPr>
            <sz val="8"/>
            <color indexed="81"/>
            <rFont val="Tahoma"/>
            <family val="2"/>
            <charset val="204"/>
          </rPr>
          <t xml:space="preserve">
2-ТП водхоз</t>
        </r>
      </text>
    </comment>
  </commentList>
</comments>
</file>

<file path=xl/comments2.xml><?xml version="1.0" encoding="utf-8"?>
<comments xmlns="http://schemas.openxmlformats.org/spreadsheetml/2006/main">
  <authors>
    <author>Алексеева</author>
  </authors>
  <commentList>
    <comment ref="V26" authorId="0">
      <text>
        <r>
          <rPr>
            <b/>
            <sz val="9"/>
            <color indexed="81"/>
            <rFont val="Tahoma"/>
            <family val="2"/>
            <charset val="204"/>
          </rPr>
          <t>Алексеева:</t>
        </r>
        <r>
          <rPr>
            <sz val="9"/>
            <color indexed="81"/>
            <rFont val="Tahoma"/>
            <family val="2"/>
            <charset val="204"/>
          </rPr>
          <t xml:space="preserve">
январь-апрель 3 кВт-Ebara, 
май-сентябрь 5,5 -К 65-50-160, 
октябрь-декабрь 4кВт- Ebara</t>
        </r>
      </text>
    </comment>
    <comment ref="AD26" authorId="0">
      <text>
        <r>
          <rPr>
            <b/>
            <sz val="9"/>
            <color indexed="81"/>
            <rFont val="Tahoma"/>
            <family val="2"/>
            <charset val="204"/>
          </rPr>
          <t>Алексеева:</t>
        </r>
        <r>
          <rPr>
            <sz val="9"/>
            <color indexed="81"/>
            <rFont val="Tahoma"/>
            <family val="2"/>
            <charset val="204"/>
          </rPr>
          <t xml:space="preserve">
январь-апрель 3 кВт-Ebara, 
май-сентябрь 5,5 -К 65-50-160, 
октябрь-декабрь 4кВт- Ebara</t>
        </r>
      </text>
    </comment>
  </commentList>
</comments>
</file>

<file path=xl/sharedStrings.xml><?xml version="1.0" encoding="utf-8"?>
<sst xmlns="http://schemas.openxmlformats.org/spreadsheetml/2006/main" count="1040" uniqueCount="288">
  <si>
    <t>прочим потребителям</t>
  </si>
  <si>
    <t>Срок реализации мероприятия, лет</t>
  </si>
  <si>
    <t>Наименование показателя</t>
  </si>
  <si>
    <t>тыс. руб.</t>
  </si>
  <si>
    <t>%</t>
  </si>
  <si>
    <t>Участок Анюйск</t>
  </si>
  <si>
    <t>1.</t>
  </si>
  <si>
    <t>1.1.</t>
  </si>
  <si>
    <t>1.2.</t>
  </si>
  <si>
    <t>1.3.</t>
  </si>
  <si>
    <t>1.4.</t>
  </si>
  <si>
    <t>1.5.</t>
  </si>
  <si>
    <t>2.</t>
  </si>
  <si>
    <t>2.1.</t>
  </si>
  <si>
    <t>2.2.</t>
  </si>
  <si>
    <t>Участок Билибино</t>
  </si>
  <si>
    <t>Участок Илирней</t>
  </si>
  <si>
    <t>Участок Кепервеем</t>
  </si>
  <si>
    <t>Участок Омолон</t>
  </si>
  <si>
    <t>Участок Островное</t>
  </si>
  <si>
    <t>3.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</si>
  <si>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</si>
  <si>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</si>
  <si>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</si>
  <si>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</si>
  <si>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</si>
  <si>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</si>
  <si>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</si>
  <si>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Показатели качества воды</t>
  </si>
  <si>
    <t>Показатели эффективности использования ресурсов, в том числе уроветь потерь воды</t>
  </si>
  <si>
    <t>1.1</t>
  </si>
  <si>
    <t>1.2</t>
  </si>
  <si>
    <t>2.1</t>
  </si>
  <si>
    <t>3.1</t>
  </si>
  <si>
    <t>3.2</t>
  </si>
  <si>
    <t>ед./км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</si>
  <si>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</si>
  <si>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Показатели надежности и бесперебойности водоснабжения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</si>
  <si>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</t>
  </si>
  <si>
    <t>-</t>
  </si>
  <si>
    <t>3.1.</t>
  </si>
  <si>
    <t>кВт.ч/     куб.м</t>
  </si>
  <si>
    <t>4.</t>
  </si>
  <si>
    <t>4.1.</t>
  </si>
  <si>
    <t>5.</t>
  </si>
  <si>
    <t>5.1.</t>
  </si>
  <si>
    <t>6.</t>
  </si>
  <si>
    <t>6.1.</t>
  </si>
  <si>
    <t>* План мероприятий, направленных на улучшение качества питьевой воды, организацией не представлен</t>
  </si>
  <si>
    <t>доля потерь воды в централизованной системе водоснабжения при транспортировке в общем объеме воды, поданной в водопроводную сеть</t>
  </si>
  <si>
    <t>* План мероприятий по энергосбережению и повышению энергетической эффективности организацией не представлен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</si>
  <si>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результам производственного контроля качества питьевой воды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</si>
  <si>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</si>
  <si>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общее количество отобранных проб</t>
  </si>
  <si>
    <t>ед.</t>
  </si>
  <si>
    <t>I</t>
  </si>
  <si>
    <t>2.2</t>
  </si>
  <si>
    <t>1</t>
  </si>
  <si>
    <t>2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</si>
  <si>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</si>
  <si>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II</t>
  </si>
  <si>
    <t>протяженность водопроводной сети</t>
  </si>
  <si>
    <t>км</t>
  </si>
  <si>
    <t>III</t>
  </si>
  <si>
    <t>общий объем воды, поданной в водопроводную сеть</t>
  </si>
  <si>
    <t>объем потерь воды в централизованной системе водоснабжения при ее транспортировке</t>
  </si>
  <si>
    <t>общее количество электрической энергии, потребляемой в технологическом процессе подготовки питьевой воды</t>
  </si>
  <si>
    <t>общий объем питьевой воды, в отношении которой осуществляется водоподготовка</t>
  </si>
  <si>
    <t>общее количество электрической энергии, потребляемой в технологическом процессе транспортировки питьевой воды</t>
  </si>
  <si>
    <t>общий объем транспортируемой воды</t>
  </si>
  <si>
    <t>3</t>
  </si>
  <si>
    <t>тыс.куб.м</t>
  </si>
  <si>
    <t>2.4.</t>
  </si>
  <si>
    <t>4.2.</t>
  </si>
  <si>
    <t>4.3.</t>
  </si>
  <si>
    <t>6.2.</t>
  </si>
  <si>
    <t>Значение показателя</t>
  </si>
  <si>
    <t>тыс.кВт.ч</t>
  </si>
  <si>
    <t>Раздел 1.  Паспорт производственной программы</t>
  </si>
  <si>
    <t>МП ЖКХ Билибинского муниципального района</t>
  </si>
  <si>
    <t>Комитет государственного регулирования цен и тарифов Чукотского автономного округа</t>
  </si>
  <si>
    <t>689450, Чукотский автономный округ, г. Билибино, ул. Геологов д. 1а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</si>
  <si>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</si>
  <si>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</si>
  <si>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</si>
  <si>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Местонахождение уполномоченного органа</t>
  </si>
  <si>
    <t>689000, Чукотский автономный округ, г. Анадырь, ул. Отке, 4</t>
  </si>
  <si>
    <t>ОТЧЕТ ОБ ИСПОЛНЕНИИ ПРОИЗВОДСТВЕННОЙ ПРОГРАММЫ</t>
  </si>
  <si>
    <t>№
п/п</t>
  </si>
  <si>
    <t>Наименование</t>
  </si>
  <si>
    <t>план</t>
  </si>
  <si>
    <t>факт</t>
  </si>
  <si>
    <t>год</t>
  </si>
  <si>
    <t>1 полугодие</t>
  </si>
  <si>
    <t>2 полугодие</t>
  </si>
  <si>
    <t>Объем воды из источников водоснабжения:</t>
  </si>
  <si>
    <t>куб.м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</si>
  <si>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</si>
  <si>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</si>
  <si>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</si>
  <si>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питьевой воды, поданной в сеть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</si>
  <si>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</si>
  <si>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</si>
  <si>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</si>
  <si>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</si>
  <si>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</si>
  <si>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Полезный отпуск питьевой воды, всего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</si>
  <si>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</si>
  <si>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</si>
  <si>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</si>
  <si>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</si>
  <si>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</si>
  <si>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</si>
  <si>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</si>
  <si>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7.</t>
  </si>
  <si>
    <t>Отпуск питьевой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</si>
  <si>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</si>
  <si>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</si>
  <si>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</si>
  <si>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</si>
  <si>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</si>
  <si>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</si>
  <si>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</si>
  <si>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</si>
  <si>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</si>
  <si>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</si>
  <si>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</si>
  <si>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</si>
  <si>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 xml:space="preserve">          - расчетными способами</t>
  </si>
  <si>
    <t xml:space="preserve">   из поверхностных источников</t>
  </si>
  <si>
    <t>участок Билибино</t>
  </si>
  <si>
    <t>участок Анюйск</t>
  </si>
  <si>
    <t>участок Илирней</t>
  </si>
  <si>
    <t>участок Кепервеем</t>
  </si>
  <si>
    <t>участок Омолон</t>
  </si>
  <si>
    <t>участок Островное</t>
  </si>
  <si>
    <t>Показатели производственной деятельности</t>
  </si>
  <si>
    <t>ФАКТ</t>
  </si>
  <si>
    <t xml:space="preserve">Раздел 2. Баланс водоснабжения (питьевая вода (питьевое водоснабжение)) </t>
  </si>
  <si>
    <t>Расход на технолог. нужды</t>
  </si>
  <si>
    <t>заполнение(промывка) т/сетей</t>
  </si>
  <si>
    <t>Х.в. на подпитку т/с ЦТП -2</t>
  </si>
  <si>
    <t>расход на с/н (холодная вода ТС)</t>
  </si>
  <si>
    <t>(должность)</t>
  </si>
  <si>
    <t>(ФИО, подпись)</t>
  </si>
  <si>
    <t>2019 год</t>
  </si>
  <si>
    <t>2020 год</t>
  </si>
  <si>
    <t>2021 год</t>
  </si>
  <si>
    <t>2022 год</t>
  </si>
  <si>
    <t>2023 год</t>
  </si>
  <si>
    <r>
      <t xml:space="preserve">Раздел 3. Перечень плановых мероприятий по ремонту объектов централизованных систем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</si>
  <si>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r>
      <t>3.1. План мероприятий по ремонту объектов централизованных систе</t>
    </r>
    <r>
      <rPr>
        <b/>
        <sz val="12"/>
        <rFont val="Times New Roman"/>
        <family val="1"/>
        <charset val="204"/>
      </rPr>
      <t>м холодного водоснабжения</t>
    </r>
  </si>
  <si>
    <t xml:space="preserve">Ремонт участка сетей холодного водоснабжения от ТК-101 до ТК-103 по ул.30 лет Советской Чукотки </t>
  </si>
  <si>
    <t xml:space="preserve">Ремонт участка сетей холодного водоснабжения от ТК-401 до ТК-607 по ул.Мандрикова </t>
  </si>
  <si>
    <t>Ремонт участка сетей холодного водоснабжения от ТК-403 до ТК-406</t>
  </si>
  <si>
    <t>Ремонт участка сетей холодного водоснабжения от ТК-522/1 до узла №3 МКД №1 по ул.Октябрьская</t>
  </si>
  <si>
    <t xml:space="preserve">Ремонт  помещений ВОС-2 по ул.Магаданская,1 </t>
  </si>
  <si>
    <t>1.6.</t>
  </si>
  <si>
    <t xml:space="preserve">Окраска оборудования в помещениях ВОС-2 </t>
  </si>
  <si>
    <t>Ремонт участка сетей холодного водоснабжения</t>
  </si>
  <si>
    <t>1.13.</t>
  </si>
  <si>
    <t>Ремонт участка сетей холодного водоснабжения от ТК-1 в сторону ТК-65</t>
  </si>
  <si>
    <t>2.5.</t>
  </si>
  <si>
    <t>2.6.</t>
  </si>
  <si>
    <t xml:space="preserve">Ремонт участка сетей холодного водоснабжения от ТК-2 до ТК-79 по ул.Набережная </t>
  </si>
  <si>
    <t>3.7.</t>
  </si>
  <si>
    <t xml:space="preserve">Ремонт участка сетей холодного водоснабжения от ТК-1 до ТК-41 </t>
  </si>
  <si>
    <t xml:space="preserve">Ремонт участка сетей холодного водоснабжения от ТК-4 до ТК-17, от ТК-14 до ТК-1  по ул.Лапицкого и Центральная </t>
  </si>
  <si>
    <t xml:space="preserve">Ремонт участка сетей холодного водоснабжения от ТК-65а до ТК-65д </t>
  </si>
  <si>
    <t>4.4.</t>
  </si>
  <si>
    <t xml:space="preserve">Ремонт участка сетей холодного водоснабжения от ТК-80а до ТК-13 </t>
  </si>
  <si>
    <t>4.5.</t>
  </si>
  <si>
    <t>4.10.</t>
  </si>
  <si>
    <t>Ремонт участка магистрального Водовода</t>
  </si>
  <si>
    <t>5.6.</t>
  </si>
  <si>
    <t>Ремонт участка сетей холодного водоснабжения от ТК-85 до ТК-89 пр.Ручейный</t>
  </si>
  <si>
    <t>6.5.</t>
  </si>
  <si>
    <t>3.2. План мероприятий, направленных на улучшение качества питьевой воды*</t>
  </si>
  <si>
    <t>3.3. План мероприятий по энергосбережению и повышению энергетической эффективности, в том числе по снижению потерь воды при транспортировке*</t>
  </si>
  <si>
    <t>Раздел 4. Объем финансовых потребностей, необходимых для реализации производственной программы</t>
  </si>
  <si>
    <t>№ 
п/п</t>
  </si>
  <si>
    <t>ПЛАН</t>
  </si>
  <si>
    <t>Отклонение 
(- не использовано, + перерасход)</t>
  </si>
  <si>
    <t>Причины отклонения</t>
  </si>
  <si>
    <t>Раздел 5. Плановые показатели надежности, качества, энергетической эффективности объектов централизованных систем холодного водоснабжения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</si>
  <si>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</si>
  <si>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показатель надежности и бесперебойности централизованной системы холодного водоснабжения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</si>
  <si>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</si>
  <si>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 xml:space="preserve">Отклонение </t>
  </si>
  <si>
    <t>Отклонение</t>
  </si>
  <si>
    <t>Фактические затраты при выполнении работ по договорам ГПХ (при планировании работ была учтена сметная стоимость материалов)</t>
  </si>
  <si>
    <t>Ремонт участка сетей холодного водоснабжения от ТК-20 до ТК-21, протяженностью 32,3мп с.Анюйск</t>
  </si>
  <si>
    <t>Ремонт участка сетей холодного водоснабжения от ТК-1 до ТК-53а с.Кепервеем</t>
  </si>
  <si>
    <t>Ремонт участка сетей  холодного водоснабжения от ТК-72 до угла МКД №1 пр.Ручейный с.Островное</t>
  </si>
  <si>
    <t>Наладка химической очистки воды на ВОС</t>
  </si>
  <si>
    <t>Паводковый период</t>
  </si>
  <si>
    <t>Производственный контроль остаточного хлора, выполнен в меньшем обьеме в связи с укороченным периодом хлорирования воды.</t>
  </si>
  <si>
    <t>Пробы отобранны в связи с проверкой прокуратуры</t>
  </si>
  <si>
    <t>Отсутствие одной доставки проб в связи с затрудненной транспортной схемой</t>
  </si>
  <si>
    <t>по результатам инвентаризации</t>
  </si>
  <si>
    <t>В 2019 году ВПУ-12 в неполном объеме осуществлялся процес водоподготовки, в зависимости от качества воды</t>
  </si>
  <si>
    <t>Проложен отдельный трубопровод ХВС до водоочистной станции для подпитки тепловой сети котельной №1</t>
  </si>
  <si>
    <t>Запуск насоса на ВОС - 2 планировалось в течение 3 летних месяцев, но в связи с недостаточным напором ХВС в 2019 году насос запускался с сентября по декабрь</t>
  </si>
  <si>
    <t xml:space="preserve">В связи с жалобами населения на напор воды, в сентябре 2019 года произведена замена насосов на более мощные и установлен дополнительный насос на водопроводных сетях. </t>
  </si>
  <si>
    <t>По факту за 2018 год расход эл.энергии составил 58,6 тыс. кВт*ч.</t>
  </si>
  <si>
    <t>По факту за 2018 год расход эл.энергии составил 27,132 тыс. кВт*ч. В 2018 году в пожводоемном здании установлен подкачивающий насос на водопроводных сетях.</t>
  </si>
  <si>
    <t>Запуск в работу насосной станции второго подъема, вывод из эксплуатации водонапорной башни</t>
  </si>
  <si>
    <t>Капитальный ремонт участка магистрального Водовода с.Омолон</t>
  </si>
  <si>
    <t>Выполнение работ перенесено на 2020 год</t>
  </si>
  <si>
    <t>Ремонтные работы не были выполнены в связи с поздней доставкой материалов.</t>
  </si>
  <si>
    <t>Ремонтные работы не выполнены по причине отсутствия подрядчика. Был объявлен конкурс, ни одной заявки не поступило.</t>
  </si>
  <si>
    <t>Выполнение работ перенесено на 2020 год, поздно были доставлены материалы (краска) в г. Билибино</t>
  </si>
  <si>
    <t>Работы не  выполнены по причине отсутствия подрядчиков с необходимой квалификацей и допуском к указанным работам, выданным СРО. При планировании ремонтных работ на 2020 год не учтены, т.к. включены более приоритетные объекты по участку.</t>
  </si>
  <si>
    <t>Выполнение работ перенесено на 2020 год.</t>
  </si>
  <si>
    <t>Ремонтные работы не были выполнены в связи с поздней доставкой материалов. При планировании ремонтных работ на 2020 год, включены более приоритетные объекты по участку.</t>
  </si>
  <si>
    <t>Увеличение количества проб объясняется ужесточением производственного контроля в связи с увеличением периода  хим. очистки воды (планировалось только в паводковый период), и внеплановыми проверками (прокуратура)</t>
  </si>
  <si>
    <t>Проведение хим. очитски воды в течение года (планировалось только в паводковый период)</t>
  </si>
  <si>
    <t>Увеличение количества проб объясняется ужесточением производственного контроля, в внеплановыми проверками (прокуратура)</t>
  </si>
  <si>
    <t>Увеличение пролива воды для достижения качества воды в соответствие с требованиями СанПиН в МКД, не оборудованных коллективными приборами учета</t>
  </si>
  <si>
    <t>198 проб - контроль остаточного хлора</t>
  </si>
  <si>
    <t>1. Фактические затраты при выполнении работ по договорам ГПХ (при планировании работ была учтена сметная стоимость материалов).                               2. В связи с отсутствием достаточного объема материалов работы по ремонту участка сетей холодного водоснабжения перенесены на 2021 г. (план рем. работ прилагается).</t>
  </si>
  <si>
    <t>Устройство выгреба ВОС-2</t>
  </si>
  <si>
    <t xml:space="preserve">Ремонтные работы на сетях холодного водоснабжения не выполнены по причине отсутствия подрядчика. </t>
  </si>
  <si>
    <t>Кап. ремонт участков сети водовода</t>
  </si>
  <si>
    <t>Фактические затраты при выполнении работ по договорам ГПХ (при планировании работ была учтена сметная стоимость материалов).</t>
  </si>
  <si>
    <t>Ремонт участка сетей холодного водоснабжения от ТК-41 до переезда дороги с. Кепервеем</t>
  </si>
  <si>
    <t>1. Фактические затраты при выполнении работ по договорам ГПХ (при планировании работ была учтена сметная стоимость материалов).                           2. В связи с поздней доставкой материалов работы по "кап. ремонту участка сетей холодного водоснабжения от ТВК-19 до здания пожводоема" перенесены на 2021 г. (план рем. работ прилагается).</t>
  </si>
  <si>
    <t>Кап. ремонт трубопровода ХВС от ТК-62 до ТК-71</t>
  </si>
  <si>
    <t xml:space="preserve">Кап. ремонт участка сети водовода и тепловых сетей </t>
  </si>
  <si>
    <t>Капитальный ремонт участка сетей ХВС от ТК-12 до ТК-19, ул. Первомайская</t>
  </si>
  <si>
    <t>Капитальный ремонт трубопровода ХВС от ТК-67 до ТК-80</t>
  </si>
  <si>
    <t xml:space="preserve">Теплоизоляционные работы трубопровода ХВС от ТК-2 до ТК-71 ул. 50 лет Советской Власти </t>
  </si>
  <si>
    <t xml:space="preserve">Теплоизоляционные работы трубопровода ХВС от ТК-12 до ТК-31 ул. Гагарина </t>
  </si>
  <si>
    <t xml:space="preserve">2022 год </t>
  </si>
  <si>
    <t>Уменьшение количества проб объясняется : исключением анализа на определение фторидов, т.к. фторирирование воды  не производилось.</t>
  </si>
  <si>
    <t>Увеличение количества проб объясняется ужесточением производственного контроля, в связи с реагентной обработкой воды.</t>
  </si>
  <si>
    <t>В связи с недостаточным напором ХВС в 2020 году насос на ВОС-2  запускался с января по декабрь включительно.</t>
  </si>
  <si>
    <t>В 2020 году ВПУ-12 в неполном объеме осуществлялся процес водоподготовки, в зависимости от качества воды</t>
  </si>
  <si>
    <t xml:space="preserve">В связи с жалобами населения на напор воды,  произведена замена насосов на более мощные и установлен дополнительный насос на водопроводных сетях. </t>
  </si>
  <si>
    <t>Дополнительный мониторинг в паводковый период</t>
  </si>
  <si>
    <t>Дополнительный мониторинг в паводковый период, мониторинг дополнительной точки распределительной сети</t>
  </si>
  <si>
    <t xml:space="preserve">В 2018 году в пожводоемном здании установлен подкачивающий насос на водопроводных сетях.По факту за 2019 год расход эл.энергии составил 13,5 тыс. кВт*ч. </t>
  </si>
  <si>
    <t>Производственный контроль</t>
  </si>
  <si>
    <t>Руководитель организации</t>
  </si>
  <si>
    <t>Замена сетей холодного водоснабжения от ТК-1 до ТК-5</t>
  </si>
  <si>
    <t>Замена трубопроводов сетей холодного водоснабжения от ТК-22 до ТК-26</t>
  </si>
  <si>
    <t>Замена трупоброводов холодного водоснабжения от ТК-111 -ТК-112</t>
  </si>
  <si>
    <t>Замена участка трубопровода ХВС в 2 нитки от ТК на территории ВОС-1 до задвижек в здании насосной ул. Нижняя</t>
  </si>
  <si>
    <t>Заменой фильтрующей загрузки с последующим провидением пуско-наладочных работ оборудования ВОС-1 ул. Нижняя</t>
  </si>
  <si>
    <t>Заменой фильтрующей загрузки с последующим провидением пуско-наладочных работ оборудования ВОС-2  ул. Магаданская</t>
  </si>
  <si>
    <t>Замена трубопроводов сетей холодного водоснабжения от ТК-34 до ТК-26</t>
  </si>
  <si>
    <t>Промывка сетей водовода холодного водоснабжения с целью очистки трубопроводов от коррозийных отложений</t>
  </si>
  <si>
    <t>Ремонт помещения насосной водозабора</t>
  </si>
  <si>
    <t>Замена трубопроводов холодного водоснабжения от ТК-80а до ТК-13</t>
  </si>
  <si>
    <t>Промывка магистральных сетей холодного водоснабжения с целью очистки трубопроводов от коррозийных отложений</t>
  </si>
  <si>
    <t xml:space="preserve">Замена сетей трубопроводов холодного водоснабжения от ТК-9 до ТК-14 </t>
  </si>
  <si>
    <t xml:space="preserve">                                                                                            С.И. Брычаев</t>
  </si>
  <si>
    <t>РСГ</t>
  </si>
  <si>
    <t>Проведение ремонтных и наладочных работ Водоподготовительной установки ВПУ-БМ-12 в с. Анюйск</t>
  </si>
  <si>
    <t>Замена сетей холодного и горячего водоснабжения от ТК-401 до ТК-607 г. Билибино</t>
  </si>
  <si>
    <t>Замена трубопроводов холодного и горячего водоснабжения от ТК-406 до ТК-409 г. Билибино</t>
  </si>
  <si>
    <t>Замена сетей отопления, холодного и горячего водоснабжения от ТК-207 до ТК-207а г. Билибино</t>
  </si>
  <si>
    <t>Замена трубопроводов тепловой сети и сети холодного водоснабжения от котельной №1 до ТК №5 в с.п. Анюйск</t>
  </si>
  <si>
    <t>Замена трубопроводов тепловой сети и сети холодного водоснабжения от врезки под дорожным переездом до ТК №34 с. Илирней</t>
  </si>
  <si>
    <t>Замена трубопровода холодного водоснабжения от ТК №655 до ТК №63 с. Купреевом</t>
  </si>
  <si>
    <t>Замена трубопровода холодного водоснабжения от ТК №6 до ТК №80а с. Купреевом</t>
  </si>
  <si>
    <t>Капитальный ремонт тепловых сетей и сетей холодного водоснабжения от ТК №9 до ТК №14 с. Омолон</t>
  </si>
  <si>
    <t>Замена трубопроводов холодного водоснабжения от ТК № 67 до ТК №71 до ул. Береговая с. Омолон</t>
  </si>
  <si>
    <t>Замена трубопроводов холодного водоснабжения от ТК - №8 до ТК - №50 с. Островное</t>
  </si>
  <si>
    <t>Установка ограждения вокруг насосной станции 2-го подъема НС-20 с. Островное</t>
  </si>
  <si>
    <t>Кол-во проб отобрано в соответствии с СанПин 1.2.3685-21</t>
  </si>
  <si>
    <t>Кол-во проб отобрано в соответствии с СанПин 1.2.3685-21 Плюс две пробы отобраны вне плана, для внутреннего контроля в паводковый период.</t>
  </si>
  <si>
    <t>Кол-во проб отобрано в соответствии с СанПин 1.2.3685-21 Плюс три пробы отобраны вне плана, в  сзязи с проверкой прокуратуры.</t>
  </si>
  <si>
    <t xml:space="preserve">Кол-во проб отобрано в соответствии с СанПин 1.2.3685-21 Плюс пять пробы отобраны вне плана, для внутреннего контроля. </t>
  </si>
  <si>
    <t>Контроль за состоянием воды в паводковый период</t>
  </si>
  <si>
    <t>Наличие коррозийных отложений в стальных трубопроводах холодного водоснабжения.</t>
  </si>
  <si>
    <t>Необходимость контроля за состоянием воды в связи с дефектами ВПУ-12 (Водоочистная станция) и проблемами логистики доставки  рем. материалов.</t>
  </si>
  <si>
    <t xml:space="preserve">Необходимость контроля в связи с попаданием в источник водозабора загрязнений (не предусмотренных технологией очистки ВОС) в следствии проведения буровых работ в непосредственной близости от водохранилища. </t>
  </si>
  <si>
    <t>увеличена продолжительность промывок фильтров в связи с уплотненоием загрузки при достижении сроков её замены</t>
  </si>
  <si>
    <t>В 2022 году выполнены ремонтные работы: перегрузка фильтров№ 2-4 фильтрующим материалом Гидроантрацит, на фильтр AG, подложка кварцевый песок, проведена настройка режима промывки и фильтрации, восстановлена автоматическая работа насосов на  ВПУ-12</t>
  </si>
  <si>
    <t xml:space="preserve">В связи с жалобами населения на напор воды,   работает повышающий насос на водопроводных сетях с января по декабрь. </t>
  </si>
  <si>
    <t xml:space="preserve">С января по декабрь работает повышающий насос на водопроводных сетях установленный пожводоемном здании. По факту за 2022 год расход эл.энергии на работу подкачивающего насоса составил 3,583 тыс. кВт*ч. </t>
  </si>
  <si>
    <t>Работ насосной станции второго подъема, водонапорная башня выведена из эксплуатации.</t>
  </si>
  <si>
    <t>2.3.</t>
  </si>
  <si>
    <t>3.2.</t>
  </si>
  <si>
    <t>3.3.</t>
  </si>
  <si>
    <t>3.4.</t>
  </si>
  <si>
    <t>в сфере водоснабжения (питьевое водоснабжение)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</si>
</sst>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  <numFmt numFmtId="167" formatCode="0.000"/>
    <numFmt numFmtId="168" formatCode="#,##0.000"/>
    <numFmt numFmtId="169" formatCode="_-* #,##0\ &quot;р.&quot;_-;\-* #,##0\ &quot;р.&quot;_-;_-* &quot;-&quot;\ &quot;р.&quot;_-;_-@_-"/>
    <numFmt numFmtId="170" formatCode="#,##0\ &quot;d.&quot;;[Red]\-#,##0\ &quot;d.&quot;"/>
    <numFmt numFmtId="171" formatCode="#,##0.00\ &quot;d.&quot;;[Red]\-#,##0.00\ &quot;d.&quot;"/>
    <numFmt numFmtId="172" formatCode="#,##0.00\ &quot;đ.&quot;;[Red]\-#,##0.00\ &quot;đ.&quot;"/>
    <numFmt numFmtId="173" formatCode="_-* #,##0\ _đ_._-;\-* #,##0\ _đ_._-;_-* &quot;-&quot;\ _đ_._-;_-@_-"/>
    <numFmt numFmtId="174" formatCode="_-* #,##0.00\ _đ_._-;\-* #,##0.00\ _đ_._-;_-* &quot;-&quot;??\ _đ_._-;_-@_-"/>
    <numFmt numFmtId="175" formatCode="#,##0\ &quot;р.&quot;;[Red]\-#,##0\ &quot;р.&quot;"/>
    <numFmt numFmtId="176" formatCode="_-* #,##0\ _р_._-;\-* #,##0\ _р_._-;_-* &quot;-&quot;\ _р_._-;_-@_-"/>
    <numFmt numFmtId="177" formatCode="_-* #,##0.00\ _р_._-;\-* #,##0.00\ _р_._-;_-* &quot;-&quot;??\ _р_._-;_-@_-"/>
  </numFmts>
  <fonts count="42" x14ac:knownFonts="1">
    <font>
      <sz val="10"/>
      <name val="Arial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Courier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indexed="12"/>
      <name val="Helv"/>
      <charset val="204"/>
    </font>
    <font>
      <sz val="12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0"/>
      <name val="Helv"/>
      <charset val="204"/>
    </font>
    <font>
      <sz val="10"/>
      <color rgb="FF0000FF"/>
      <name val="Times New Roman"/>
      <family val="1"/>
      <charset val="204"/>
    </font>
    <font>
      <sz val="10"/>
      <color rgb="FF0000FF"/>
      <name val="Helv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45">
    <xf numFmtId="0" fontId="0" fillId="0" borderId="0"/>
    <xf numFmtId="0" fontId="6" fillId="0" borderId="0"/>
    <xf numFmtId="169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21" fillId="0" borderId="0"/>
    <xf numFmtId="0" fontId="7" fillId="0" borderId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" fillId="0" borderId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7" fillId="0" borderId="0"/>
    <xf numFmtId="43" fontId="18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27">
    <xf numFmtId="0" fontId="0" fillId="0" borderId="0" xfId="0"/>
    <xf numFmtId="0" fontId="9" fillId="0" borderId="0" xfId="0" applyFont="1"/>
    <xf numFmtId="0" fontId="6" fillId="0" borderId="0" xfId="0" applyFont="1"/>
    <xf numFmtId="0" fontId="4" fillId="0" borderId="1" xfId="20" applyFont="1" applyBorder="1" applyAlignment="1">
      <alignment horizontal="left" vertical="center" wrapText="1"/>
    </xf>
    <xf numFmtId="0" fontId="6" fillId="0" borderId="12" xfId="0" applyFont="1" applyBorder="1"/>
    <xf numFmtId="0" fontId="8" fillId="0" borderId="0" xfId="30" applyFont="1"/>
    <xf numFmtId="0" fontId="13" fillId="0" borderId="0" xfId="30" applyFont="1"/>
    <xf numFmtId="0" fontId="8" fillId="0" borderId="1" xfId="30" applyFont="1" applyBorder="1" applyAlignment="1">
      <alignment horizontal="left" vertical="center" wrapText="1"/>
    </xf>
    <xf numFmtId="0" fontId="8" fillId="0" borderId="0" xfId="30" applyFont="1" applyBorder="1" applyAlignment="1">
      <alignment horizontal="left" vertical="center" wrapText="1"/>
    </xf>
    <xf numFmtId="0" fontId="4" fillId="0" borderId="0" xfId="20" applyFont="1" applyBorder="1" applyAlignment="1">
      <alignment horizontal="left" vertical="center"/>
    </xf>
    <xf numFmtId="0" fontId="10" fillId="0" borderId="0" xfId="30" applyFont="1"/>
    <xf numFmtId="0" fontId="4" fillId="0" borderId="0" xfId="20" applyFont="1" applyBorder="1" applyAlignment="1">
      <alignment horizontal="left"/>
    </xf>
    <xf numFmtId="0" fontId="10" fillId="0" borderId="0" xfId="30" applyFont="1" applyBorder="1" applyAlignment="1">
      <alignment horizontal="left"/>
    </xf>
    <xf numFmtId="0" fontId="4" fillId="0" borderId="1" xfId="20" applyFont="1" applyBorder="1" applyAlignment="1">
      <alignment horizontal="left" vertical="center"/>
    </xf>
    <xf numFmtId="0" fontId="6" fillId="0" borderId="19" xfId="0" applyFont="1" applyBorder="1"/>
    <xf numFmtId="0" fontId="6" fillId="0" borderId="26" xfId="0" applyFont="1" applyBorder="1"/>
    <xf numFmtId="0" fontId="4" fillId="0" borderId="1" xfId="20" applyFont="1" applyFill="1" applyBorder="1" applyAlignment="1">
      <alignment horizontal="center" vertical="center" wrapText="1"/>
    </xf>
    <xf numFmtId="0" fontId="4" fillId="0" borderId="33" xfId="20" applyFont="1" applyFill="1" applyBorder="1" applyAlignment="1">
      <alignment horizontal="center" vertical="center" wrapText="1"/>
    </xf>
    <xf numFmtId="0" fontId="8" fillId="0" borderId="0" xfId="30" applyFont="1" applyAlignment="1">
      <alignment horizontal="center"/>
    </xf>
    <xf numFmtId="0" fontId="5" fillId="0" borderId="34" xfId="20" applyFont="1" applyFill="1" applyBorder="1" applyAlignment="1">
      <alignment vertical="center"/>
    </xf>
    <xf numFmtId="0" fontId="5" fillId="0" borderId="0" xfId="20" applyFont="1" applyFill="1" applyBorder="1" applyAlignment="1">
      <alignment vertical="center"/>
    </xf>
    <xf numFmtId="0" fontId="14" fillId="0" borderId="0" xfId="20" applyFont="1" applyFill="1"/>
    <xf numFmtId="0" fontId="16" fillId="0" borderId="0" xfId="20" applyFont="1" applyFill="1" applyAlignment="1">
      <alignment vertical="top"/>
    </xf>
    <xf numFmtId="0" fontId="15" fillId="0" borderId="1" xfId="20" applyFont="1" applyFill="1" applyBorder="1" applyAlignment="1">
      <alignment horizontal="center" vertical="center" wrapText="1"/>
    </xf>
    <xf numFmtId="0" fontId="15" fillId="0" borderId="2" xfId="20" applyFont="1" applyFill="1" applyBorder="1" applyAlignment="1">
      <alignment horizontal="center" vertical="center" wrapText="1"/>
    </xf>
    <xf numFmtId="0" fontId="2" fillId="0" borderId="0" xfId="20" applyFont="1" applyFill="1" applyAlignment="1">
      <alignment vertical="center"/>
    </xf>
    <xf numFmtId="49" fontId="17" fillId="0" borderId="3" xfId="20" applyNumberFormat="1" applyFont="1" applyFill="1" applyBorder="1" applyAlignment="1">
      <alignment horizontal="center" vertical="center" wrapText="1"/>
    </xf>
    <xf numFmtId="0" fontId="17" fillId="0" borderId="3" xfId="20" applyFont="1" applyFill="1" applyBorder="1" applyAlignment="1">
      <alignment vertical="center" wrapText="1"/>
    </xf>
    <xf numFmtId="0" fontId="2" fillId="0" borderId="3" xfId="20" applyFont="1" applyFill="1" applyBorder="1" applyAlignment="1">
      <alignment horizontal="center" vertical="center" wrapText="1"/>
    </xf>
    <xf numFmtId="166" fontId="17" fillId="0" borderId="3" xfId="20" applyNumberFormat="1" applyFont="1" applyFill="1" applyBorder="1" applyAlignment="1">
      <alignment horizontal="center" vertical="center" wrapText="1"/>
    </xf>
    <xf numFmtId="166" fontId="17" fillId="0" borderId="35" xfId="20" applyNumberFormat="1" applyFont="1" applyFill="1" applyBorder="1" applyAlignment="1">
      <alignment horizontal="center" vertical="center" wrapText="1"/>
    </xf>
    <xf numFmtId="166" fontId="17" fillId="0" borderId="8" xfId="20" applyNumberFormat="1" applyFont="1" applyFill="1" applyBorder="1" applyAlignment="1">
      <alignment horizontal="center" vertical="center" wrapText="1"/>
    </xf>
    <xf numFmtId="166" fontId="17" fillId="0" borderId="36" xfId="20" applyNumberFormat="1" applyFont="1" applyFill="1" applyBorder="1" applyAlignment="1">
      <alignment horizontal="center" vertical="center" wrapText="1"/>
    </xf>
    <xf numFmtId="166" fontId="17" fillId="0" borderId="31" xfId="20" applyNumberFormat="1" applyFont="1" applyFill="1" applyBorder="1" applyAlignment="1">
      <alignment horizontal="center" vertical="center" wrapText="1"/>
    </xf>
    <xf numFmtId="49" fontId="15" fillId="0" borderId="24" xfId="20" applyNumberFormat="1" applyFont="1" applyFill="1" applyBorder="1" applyAlignment="1">
      <alignment horizontal="center" vertical="center" wrapText="1"/>
    </xf>
    <xf numFmtId="0" fontId="15" fillId="0" borderId="24" xfId="20" applyFont="1" applyFill="1" applyBorder="1" applyAlignment="1">
      <alignment horizontal="left" vertical="center" wrapText="1" indent="1"/>
    </xf>
    <xf numFmtId="0" fontId="2" fillId="0" borderId="24" xfId="20" applyFont="1" applyFill="1" applyBorder="1" applyAlignment="1">
      <alignment horizontal="center" vertical="center" wrapText="1"/>
    </xf>
    <xf numFmtId="166" fontId="15" fillId="0" borderId="24" xfId="20" applyNumberFormat="1" applyFont="1" applyFill="1" applyBorder="1" applyAlignment="1">
      <alignment horizontal="center" vertical="center" wrapText="1"/>
    </xf>
    <xf numFmtId="166" fontId="15" fillId="0" borderId="37" xfId="20" applyNumberFormat="1" applyFont="1" applyFill="1" applyBorder="1" applyAlignment="1">
      <alignment horizontal="center" vertical="center" wrapText="1"/>
    </xf>
    <xf numFmtId="166" fontId="15" fillId="0" borderId="28" xfId="20" applyNumberFormat="1" applyFont="1" applyFill="1" applyBorder="1" applyAlignment="1">
      <alignment horizontal="center" vertical="center" wrapText="1"/>
    </xf>
    <xf numFmtId="166" fontId="15" fillId="0" borderId="0" xfId="20" applyNumberFormat="1" applyFont="1" applyFill="1" applyBorder="1" applyAlignment="1">
      <alignment horizontal="center" vertical="center" wrapText="1"/>
    </xf>
    <xf numFmtId="166" fontId="15" fillId="0" borderId="5" xfId="20" applyNumberFormat="1" applyFont="1" applyFill="1" applyBorder="1" applyAlignment="1">
      <alignment horizontal="center" vertical="center" wrapText="1"/>
    </xf>
    <xf numFmtId="166" fontId="15" fillId="0" borderId="27" xfId="20" applyNumberFormat="1" applyFont="1" applyFill="1" applyBorder="1" applyAlignment="1">
      <alignment horizontal="center" vertical="center" wrapText="1"/>
    </xf>
    <xf numFmtId="49" fontId="15" fillId="0" borderId="5" xfId="20" applyNumberFormat="1" applyFont="1" applyFill="1" applyBorder="1" applyAlignment="1">
      <alignment horizontal="center" vertical="center" wrapText="1"/>
    </xf>
    <xf numFmtId="0" fontId="15" fillId="0" borderId="5" xfId="20" applyFont="1" applyFill="1" applyBorder="1" applyAlignment="1">
      <alignment horizontal="left" vertical="center" wrapText="1" indent="2"/>
    </xf>
    <xf numFmtId="0" fontId="2" fillId="0" borderId="5" xfId="20" applyFont="1" applyFill="1" applyBorder="1" applyAlignment="1">
      <alignment horizontal="center" vertical="center" wrapText="1"/>
    </xf>
    <xf numFmtId="166" fontId="15" fillId="0" borderId="14" xfId="20" applyNumberFormat="1" applyFont="1" applyFill="1" applyBorder="1" applyAlignment="1">
      <alignment horizontal="center" vertical="center" wrapText="1"/>
    </xf>
    <xf numFmtId="166" fontId="15" fillId="0" borderId="11" xfId="20" applyNumberFormat="1" applyFont="1" applyFill="1" applyBorder="1" applyAlignment="1">
      <alignment horizontal="center" vertical="center" wrapText="1"/>
    </xf>
    <xf numFmtId="166" fontId="15" fillId="0" borderId="13" xfId="20" applyNumberFormat="1" applyFont="1" applyFill="1" applyBorder="1" applyAlignment="1">
      <alignment horizontal="center" vertical="center" wrapText="1"/>
    </xf>
    <xf numFmtId="166" fontId="15" fillId="0" borderId="38" xfId="20" applyNumberFormat="1" applyFont="1" applyFill="1" applyBorder="1" applyAlignment="1">
      <alignment horizontal="center" vertical="center" wrapText="1"/>
    </xf>
    <xf numFmtId="49" fontId="17" fillId="0" borderId="5" xfId="20" applyNumberFormat="1" applyFont="1" applyFill="1" applyBorder="1" applyAlignment="1">
      <alignment horizontal="center" vertical="center" wrapText="1"/>
    </xf>
    <xf numFmtId="0" fontId="17" fillId="0" borderId="5" xfId="20" applyFont="1" applyFill="1" applyBorder="1" applyAlignment="1">
      <alignment vertical="center" wrapText="1"/>
    </xf>
    <xf numFmtId="166" fontId="17" fillId="0" borderId="5" xfId="20" applyNumberFormat="1" applyFont="1" applyFill="1" applyBorder="1" applyAlignment="1">
      <alignment horizontal="center" vertical="center" wrapText="1"/>
    </xf>
    <xf numFmtId="166" fontId="17" fillId="0" borderId="14" xfId="20" applyNumberFormat="1" applyFont="1" applyFill="1" applyBorder="1" applyAlignment="1">
      <alignment horizontal="center" vertical="center" wrapText="1"/>
    </xf>
    <xf numFmtId="166" fontId="17" fillId="0" borderId="11" xfId="20" applyNumberFormat="1" applyFont="1" applyFill="1" applyBorder="1" applyAlignment="1">
      <alignment horizontal="center" vertical="center" wrapText="1"/>
    </xf>
    <xf numFmtId="166" fontId="17" fillId="0" borderId="13" xfId="20" applyNumberFormat="1" applyFont="1" applyFill="1" applyBorder="1" applyAlignment="1">
      <alignment horizontal="center" vertical="center" wrapText="1"/>
    </xf>
    <xf numFmtId="166" fontId="17" fillId="0" borderId="38" xfId="20" applyNumberFormat="1" applyFont="1" applyFill="1" applyBorder="1" applyAlignment="1">
      <alignment horizontal="center" vertical="center" wrapText="1"/>
    </xf>
    <xf numFmtId="0" fontId="15" fillId="0" borderId="5" xfId="20" applyFont="1" applyFill="1" applyBorder="1" applyAlignment="1">
      <alignment vertical="center" wrapText="1"/>
    </xf>
    <xf numFmtId="0" fontId="16" fillId="0" borderId="5" xfId="20" applyFont="1" applyFill="1" applyBorder="1" applyAlignment="1">
      <alignment horizontal="center" vertical="center" wrapText="1"/>
    </xf>
    <xf numFmtId="166" fontId="17" fillId="0" borderId="0" xfId="20" applyNumberFormat="1" applyFont="1" applyFill="1" applyBorder="1" applyAlignment="1">
      <alignment horizontal="center" vertical="center" wrapText="1"/>
    </xf>
    <xf numFmtId="166" fontId="17" fillId="0" borderId="27" xfId="20" applyNumberFormat="1" applyFont="1" applyFill="1" applyBorder="1" applyAlignment="1">
      <alignment horizontal="center" vertical="center" wrapText="1"/>
    </xf>
    <xf numFmtId="0" fontId="16" fillId="0" borderId="0" xfId="20" applyFont="1" applyFill="1" applyAlignment="1">
      <alignment vertical="center"/>
    </xf>
    <xf numFmtId="49" fontId="15" fillId="0" borderId="6" xfId="20" applyNumberFormat="1" applyFont="1" applyFill="1" applyBorder="1" applyAlignment="1">
      <alignment horizontal="center" vertical="center" wrapText="1"/>
    </xf>
    <xf numFmtId="0" fontId="15" fillId="0" borderId="5" xfId="20" applyFont="1" applyFill="1" applyBorder="1" applyAlignment="1">
      <alignment horizontal="left" vertical="center" wrapText="1" indent="1"/>
    </xf>
    <xf numFmtId="0" fontId="2" fillId="0" borderId="6" xfId="20" applyFont="1" applyFill="1" applyBorder="1" applyAlignment="1">
      <alignment horizontal="center" vertical="center" wrapText="1"/>
    </xf>
    <xf numFmtId="166" fontId="15" fillId="0" borderId="6" xfId="20" applyNumberFormat="1" applyFont="1" applyFill="1" applyBorder="1" applyAlignment="1">
      <alignment horizontal="center" vertical="center" wrapText="1"/>
    </xf>
    <xf numFmtId="166" fontId="15" fillId="0" borderId="39" xfId="20" applyNumberFormat="1" applyFont="1" applyFill="1" applyBorder="1" applyAlignment="1">
      <alignment horizontal="center" vertical="center" wrapText="1"/>
    </xf>
    <xf numFmtId="166" fontId="15" fillId="0" borderId="15" xfId="20" applyNumberFormat="1" applyFont="1" applyFill="1" applyBorder="1" applyAlignment="1">
      <alignment horizontal="center" vertical="center" wrapText="1"/>
    </xf>
    <xf numFmtId="0" fontId="17" fillId="0" borderId="24" xfId="20" applyFont="1" applyFill="1" applyBorder="1" applyAlignment="1">
      <alignment vertical="center" wrapText="1"/>
    </xf>
    <xf numFmtId="0" fontId="16" fillId="0" borderId="24" xfId="20" applyFont="1" applyFill="1" applyBorder="1" applyAlignment="1">
      <alignment horizontal="center" vertical="center" wrapText="1"/>
    </xf>
    <xf numFmtId="166" fontId="17" fillId="0" borderId="24" xfId="20" applyNumberFormat="1" applyFont="1" applyFill="1" applyBorder="1" applyAlignment="1">
      <alignment horizontal="center" vertical="center" wrapText="1"/>
    </xf>
    <xf numFmtId="166" fontId="17" fillId="0" borderId="37" xfId="20" applyNumberFormat="1" applyFont="1" applyFill="1" applyBorder="1" applyAlignment="1">
      <alignment horizontal="center" vertical="center" wrapText="1"/>
    </xf>
    <xf numFmtId="166" fontId="17" fillId="0" borderId="28" xfId="20" applyNumberFormat="1" applyFont="1" applyFill="1" applyBorder="1" applyAlignment="1">
      <alignment horizontal="center" vertical="center" wrapText="1"/>
    </xf>
    <xf numFmtId="0" fontId="15" fillId="0" borderId="6" xfId="20" applyFont="1" applyFill="1" applyBorder="1" applyAlignment="1">
      <alignment horizontal="left" vertical="center" wrapText="1" indent="1"/>
    </xf>
    <xf numFmtId="167" fontId="17" fillId="0" borderId="5" xfId="20" applyNumberFormat="1" applyFont="1" applyFill="1" applyBorder="1" applyAlignment="1">
      <alignment horizontal="center" vertical="center" wrapText="1"/>
    </xf>
    <xf numFmtId="167" fontId="17" fillId="0" borderId="5" xfId="20" applyNumberFormat="1" applyFont="1" applyFill="1" applyBorder="1" applyAlignment="1">
      <alignment vertical="center" wrapText="1"/>
    </xf>
    <xf numFmtId="167" fontId="16" fillId="0" borderId="5" xfId="20" applyNumberFormat="1" applyFont="1" applyFill="1" applyBorder="1" applyAlignment="1">
      <alignment horizontal="center" vertical="center" wrapText="1"/>
    </xf>
    <xf numFmtId="165" fontId="17" fillId="0" borderId="5" xfId="20" applyNumberFormat="1" applyFont="1" applyFill="1" applyBorder="1" applyAlignment="1">
      <alignment horizontal="center" vertical="center" wrapText="1"/>
    </xf>
    <xf numFmtId="165" fontId="17" fillId="0" borderId="14" xfId="20" applyNumberFormat="1" applyFont="1" applyFill="1" applyBorder="1" applyAlignment="1">
      <alignment horizontal="center" vertical="center" wrapText="1"/>
    </xf>
    <xf numFmtId="165" fontId="17" fillId="0" borderId="11" xfId="20" applyNumberFormat="1" applyFont="1" applyFill="1" applyBorder="1" applyAlignment="1">
      <alignment horizontal="center" vertical="center" wrapText="1"/>
    </xf>
    <xf numFmtId="165" fontId="17" fillId="0" borderId="27" xfId="20" applyNumberFormat="1" applyFont="1" applyFill="1" applyBorder="1" applyAlignment="1">
      <alignment horizontal="center" vertical="center" wrapText="1"/>
    </xf>
    <xf numFmtId="167" fontId="16" fillId="0" borderId="0" xfId="20" applyNumberFormat="1" applyFont="1" applyFill="1" applyAlignment="1">
      <alignment vertical="center"/>
    </xf>
    <xf numFmtId="49" fontId="17" fillId="0" borderId="6" xfId="20" applyNumberFormat="1" applyFont="1" applyFill="1" applyBorder="1" applyAlignment="1">
      <alignment horizontal="center" vertical="center" wrapText="1"/>
    </xf>
    <xf numFmtId="0" fontId="17" fillId="0" borderId="6" xfId="20" applyFont="1" applyFill="1" applyBorder="1" applyAlignment="1">
      <alignment vertical="center" wrapText="1"/>
    </xf>
    <xf numFmtId="0" fontId="16" fillId="0" borderId="6" xfId="20" applyFont="1" applyFill="1" applyBorder="1" applyAlignment="1">
      <alignment horizontal="center" vertical="center" wrapText="1"/>
    </xf>
    <xf numFmtId="166" fontId="17" fillId="0" borderId="6" xfId="20" applyNumberFormat="1" applyFont="1" applyFill="1" applyBorder="1" applyAlignment="1">
      <alignment horizontal="center" vertical="center" wrapText="1"/>
    </xf>
    <xf numFmtId="166" fontId="17" fillId="0" borderId="39" xfId="20" applyNumberFormat="1" applyFont="1" applyFill="1" applyBorder="1" applyAlignment="1">
      <alignment horizontal="center" vertical="center" wrapText="1"/>
    </xf>
    <xf numFmtId="166" fontId="17" fillId="0" borderId="15" xfId="20" applyNumberFormat="1" applyFont="1" applyFill="1" applyBorder="1" applyAlignment="1">
      <alignment horizontal="center" vertical="center" wrapText="1"/>
    </xf>
    <xf numFmtId="166" fontId="15" fillId="0" borderId="25" xfId="20" applyNumberFormat="1" applyFont="1" applyFill="1" applyBorder="1" applyAlignment="1">
      <alignment horizontal="center" vertical="center" wrapText="1"/>
    </xf>
    <xf numFmtId="166" fontId="15" fillId="0" borderId="40" xfId="20" applyNumberFormat="1" applyFont="1" applyFill="1" applyBorder="1" applyAlignment="1">
      <alignment horizontal="center" vertical="center" wrapText="1"/>
    </xf>
    <xf numFmtId="0" fontId="15" fillId="0" borderId="24" xfId="20" applyFont="1" applyFill="1" applyBorder="1" applyAlignment="1">
      <alignment horizontal="left" vertical="center" wrapText="1" indent="2"/>
    </xf>
    <xf numFmtId="0" fontId="17" fillId="0" borderId="6" xfId="20" applyFont="1" applyFill="1" applyBorder="1" applyAlignment="1">
      <alignment horizontal="left" vertical="center" wrapText="1" indent="1"/>
    </xf>
    <xf numFmtId="0" fontId="15" fillId="0" borderId="6" xfId="20" applyFont="1" applyFill="1" applyBorder="1" applyAlignment="1">
      <alignment horizontal="left" vertical="center" wrapText="1" indent="2"/>
    </xf>
    <xf numFmtId="166" fontId="15" fillId="0" borderId="12" xfId="20" applyNumberFormat="1" applyFont="1" applyFill="1" applyBorder="1" applyAlignment="1">
      <alignment horizontal="center" vertical="center" wrapText="1"/>
    </xf>
    <xf numFmtId="166" fontId="15" fillId="0" borderId="41" xfId="20" applyNumberFormat="1" applyFont="1" applyFill="1" applyBorder="1" applyAlignment="1">
      <alignment horizontal="center" vertical="center" wrapText="1"/>
    </xf>
    <xf numFmtId="0" fontId="15" fillId="0" borderId="5" xfId="20" applyFont="1" applyFill="1" applyBorder="1" applyAlignment="1">
      <alignment horizontal="left" vertical="center" wrapText="1" indent="3"/>
    </xf>
    <xf numFmtId="49" fontId="17" fillId="0" borderId="24" xfId="20" applyNumberFormat="1" applyFont="1" applyFill="1" applyBorder="1" applyAlignment="1">
      <alignment horizontal="center" vertical="center" wrapText="1"/>
    </xf>
    <xf numFmtId="0" fontId="17" fillId="0" borderId="24" xfId="20" applyFont="1" applyFill="1" applyBorder="1" applyAlignment="1">
      <alignment horizontal="left" vertical="center" wrapText="1" indent="1"/>
    </xf>
    <xf numFmtId="166" fontId="17" fillId="0" borderId="25" xfId="20" applyNumberFormat="1" applyFont="1" applyFill="1" applyBorder="1" applyAlignment="1">
      <alignment horizontal="center" vertical="center" wrapText="1"/>
    </xf>
    <xf numFmtId="166" fontId="17" fillId="0" borderId="40" xfId="20" applyNumberFormat="1" applyFont="1" applyFill="1" applyBorder="1" applyAlignment="1">
      <alignment horizontal="center" vertical="center" wrapText="1"/>
    </xf>
    <xf numFmtId="49" fontId="15" fillId="0" borderId="4" xfId="20" applyNumberFormat="1" applyFont="1" applyFill="1" applyBorder="1" applyAlignment="1">
      <alignment horizontal="center" vertical="center" wrapText="1"/>
    </xf>
    <xf numFmtId="0" fontId="15" fillId="0" borderId="4" xfId="20" applyFont="1" applyFill="1" applyBorder="1" applyAlignment="1">
      <alignment horizontal="left" vertical="center" wrapText="1" indent="2"/>
    </xf>
    <xf numFmtId="0" fontId="2" fillId="0" borderId="4" xfId="20" applyFont="1" applyFill="1" applyBorder="1" applyAlignment="1">
      <alignment horizontal="center" vertical="center" wrapText="1"/>
    </xf>
    <xf numFmtId="166" fontId="15" fillId="0" borderId="4" xfId="20" applyNumberFormat="1" applyFont="1" applyFill="1" applyBorder="1" applyAlignment="1">
      <alignment horizontal="center" vertical="center" wrapText="1"/>
    </xf>
    <xf numFmtId="166" fontId="15" fillId="0" borderId="42" xfId="20" applyNumberFormat="1" applyFont="1" applyFill="1" applyBorder="1" applyAlignment="1">
      <alignment horizontal="center" vertical="center" wrapText="1"/>
    </xf>
    <xf numFmtId="166" fontId="15" fillId="0" borderId="43" xfId="20" applyNumberFormat="1" applyFont="1" applyFill="1" applyBorder="1" applyAlignment="1">
      <alignment horizontal="center" vertical="center" wrapText="1"/>
    </xf>
    <xf numFmtId="166" fontId="15" fillId="0" borderId="34" xfId="20" applyNumberFormat="1" applyFont="1" applyFill="1" applyBorder="1" applyAlignment="1">
      <alignment horizontal="center" vertical="center" wrapText="1"/>
    </xf>
    <xf numFmtId="166" fontId="15" fillId="0" borderId="18" xfId="20" applyNumberFormat="1" applyFont="1" applyFill="1" applyBorder="1" applyAlignment="1">
      <alignment horizontal="center" vertical="center" wrapText="1"/>
    </xf>
    <xf numFmtId="166" fontId="15" fillId="0" borderId="44" xfId="20" applyNumberFormat="1" applyFont="1" applyFill="1" applyBorder="1" applyAlignment="1">
      <alignment horizontal="center" vertical="center" wrapText="1"/>
    </xf>
    <xf numFmtId="166" fontId="15" fillId="0" borderId="16" xfId="20" applyNumberFormat="1" applyFont="1" applyFill="1" applyBorder="1" applyAlignment="1">
      <alignment horizontal="center" vertical="center" wrapText="1"/>
    </xf>
    <xf numFmtId="166" fontId="15" fillId="0" borderId="29" xfId="20" applyNumberFormat="1" applyFont="1" applyFill="1" applyBorder="1" applyAlignment="1">
      <alignment horizontal="center" vertical="center" wrapText="1"/>
    </xf>
    <xf numFmtId="166" fontId="15" fillId="0" borderId="45" xfId="20" applyNumberFormat="1" applyFont="1" applyFill="1" applyBorder="1" applyAlignment="1">
      <alignment horizontal="center" vertical="center" wrapText="1"/>
    </xf>
    <xf numFmtId="0" fontId="2" fillId="0" borderId="0" xfId="20" applyFont="1" applyFill="1"/>
    <xf numFmtId="0" fontId="17" fillId="0" borderId="1" xfId="20" applyFont="1" applyFill="1" applyBorder="1" applyAlignment="1">
      <alignment horizontal="left" vertical="center" wrapText="1" indent="1"/>
    </xf>
    <xf numFmtId="0" fontId="2" fillId="0" borderId="1" xfId="20" applyFont="1" applyFill="1" applyBorder="1"/>
    <xf numFmtId="0" fontId="2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4" fillId="0" borderId="46" xfId="20" applyFont="1" applyFill="1" applyBorder="1" applyAlignment="1">
      <alignment vertical="center"/>
    </xf>
    <xf numFmtId="0" fontId="4" fillId="0" borderId="30" xfId="20" applyFont="1" applyFill="1" applyBorder="1" applyAlignment="1">
      <alignment vertical="center"/>
    </xf>
    <xf numFmtId="0" fontId="14" fillId="0" borderId="19" xfId="20" applyFont="1" applyFill="1" applyBorder="1"/>
    <xf numFmtId="0" fontId="16" fillId="0" borderId="19" xfId="20" applyFont="1" applyFill="1" applyBorder="1" applyAlignment="1">
      <alignment vertical="top"/>
    </xf>
    <xf numFmtId="0" fontId="2" fillId="0" borderId="19" xfId="20" applyFont="1" applyFill="1" applyBorder="1" applyAlignment="1">
      <alignment vertical="center"/>
    </xf>
    <xf numFmtId="0" fontId="16" fillId="0" borderId="19" xfId="20" applyFont="1" applyFill="1" applyBorder="1" applyAlignment="1">
      <alignment vertical="center"/>
    </xf>
    <xf numFmtId="167" fontId="16" fillId="0" borderId="19" xfId="20" applyNumberFormat="1" applyFont="1" applyFill="1" applyBorder="1" applyAlignment="1">
      <alignment vertical="center"/>
    </xf>
    <xf numFmtId="0" fontId="9" fillId="0" borderId="0" xfId="19" applyFont="1"/>
    <xf numFmtId="0" fontId="4" fillId="0" borderId="0" xfId="20" applyFont="1" applyBorder="1" applyAlignment="1"/>
    <xf numFmtId="0" fontId="4" fillId="0" borderId="0" xfId="20" applyFont="1" applyBorder="1" applyAlignment="1">
      <alignment horizontal="center"/>
    </xf>
    <xf numFmtId="0" fontId="4" fillId="0" borderId="0" xfId="20" applyFont="1" applyBorder="1"/>
    <xf numFmtId="0" fontId="4" fillId="0" borderId="1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49" fontId="4" fillId="0" borderId="5" xfId="19" applyNumberFormat="1" applyFont="1" applyFill="1" applyBorder="1" applyAlignment="1">
      <alignment horizontal="center" vertical="center" wrapText="1"/>
    </xf>
    <xf numFmtId="2" fontId="4" fillId="0" borderId="5" xfId="19" applyNumberFormat="1" applyFont="1" applyFill="1" applyBorder="1" applyAlignment="1">
      <alignment horizontal="left" vertical="center" wrapText="1"/>
    </xf>
    <xf numFmtId="0" fontId="8" fillId="0" borderId="5" xfId="19" applyFont="1" applyFill="1" applyBorder="1" applyAlignment="1">
      <alignment horizontal="center"/>
    </xf>
    <xf numFmtId="165" fontId="8" fillId="0" borderId="5" xfId="19" applyNumberFormat="1" applyFont="1" applyFill="1" applyBorder="1" applyAlignment="1">
      <alignment horizontal="center"/>
    </xf>
    <xf numFmtId="49" fontId="4" fillId="0" borderId="18" xfId="19" applyNumberFormat="1" applyFont="1" applyFill="1" applyBorder="1" applyAlignment="1">
      <alignment horizontal="center" vertical="center" wrapText="1"/>
    </xf>
    <xf numFmtId="2" fontId="4" fillId="0" borderId="18" xfId="19" applyNumberFormat="1" applyFont="1" applyFill="1" applyBorder="1" applyAlignment="1">
      <alignment horizontal="left" vertical="center" wrapText="1"/>
    </xf>
    <xf numFmtId="0" fontId="8" fillId="0" borderId="18" xfId="19" applyFont="1" applyFill="1" applyBorder="1" applyAlignment="1">
      <alignment horizontal="center"/>
    </xf>
    <xf numFmtId="165" fontId="8" fillId="0" borderId="18" xfId="19" applyNumberFormat="1" applyFont="1" applyFill="1" applyBorder="1" applyAlignment="1">
      <alignment horizontal="center"/>
    </xf>
    <xf numFmtId="0" fontId="19" fillId="0" borderId="0" xfId="19" applyFont="1"/>
    <xf numFmtId="0" fontId="10" fillId="0" borderId="46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9" fillId="0" borderId="19" xfId="19" applyFont="1" applyBorder="1"/>
    <xf numFmtId="0" fontId="24" fillId="0" borderId="0" xfId="20" applyFont="1" applyFill="1"/>
    <xf numFmtId="0" fontId="24" fillId="0" borderId="1" xfId="20" applyFont="1" applyFill="1" applyBorder="1"/>
    <xf numFmtId="0" fontId="24" fillId="0" borderId="1" xfId="0" applyFont="1" applyFill="1" applyBorder="1" applyAlignment="1">
      <alignment vertical="center"/>
    </xf>
    <xf numFmtId="167" fontId="25" fillId="0" borderId="1" xfId="0" applyNumberFormat="1" applyFont="1" applyFill="1" applyBorder="1" applyAlignment="1">
      <alignment vertical="center"/>
    </xf>
    <xf numFmtId="166" fontId="24" fillId="0" borderId="0" xfId="20" applyNumberFormat="1" applyFont="1" applyFill="1"/>
    <xf numFmtId="0" fontId="26" fillId="0" borderId="34" xfId="20" applyFont="1" applyFill="1" applyBorder="1" applyAlignment="1">
      <alignment vertical="center"/>
    </xf>
    <xf numFmtId="0" fontId="26" fillId="0" borderId="0" xfId="20" applyFont="1" applyFill="1" applyBorder="1" applyAlignment="1">
      <alignment vertical="center"/>
    </xf>
    <xf numFmtId="166" fontId="8" fillId="0" borderId="5" xfId="19" applyNumberFormat="1" applyFont="1" applyFill="1" applyBorder="1" applyAlignment="1">
      <alignment horizontal="center"/>
    </xf>
    <xf numFmtId="166" fontId="8" fillId="0" borderId="18" xfId="19" applyNumberFormat="1" applyFont="1" applyFill="1" applyBorder="1" applyAlignment="1">
      <alignment horizontal="center"/>
    </xf>
    <xf numFmtId="0" fontId="17" fillId="0" borderId="5" xfId="20" applyFont="1" applyFill="1" applyBorder="1" applyAlignment="1">
      <alignment horizontal="left" vertical="center" wrapText="1" indent="1"/>
    </xf>
    <xf numFmtId="168" fontId="17" fillId="0" borderId="35" xfId="20" applyNumberFormat="1" applyFont="1" applyFill="1" applyBorder="1" applyAlignment="1">
      <alignment horizontal="center" vertical="center" wrapText="1"/>
    </xf>
    <xf numFmtId="168" fontId="17" fillId="0" borderId="8" xfId="20" applyNumberFormat="1" applyFont="1" applyFill="1" applyBorder="1" applyAlignment="1">
      <alignment horizontal="center" vertical="center" wrapText="1"/>
    </xf>
    <xf numFmtId="168" fontId="17" fillId="0" borderId="36" xfId="20" applyNumberFormat="1" applyFont="1" applyFill="1" applyBorder="1" applyAlignment="1">
      <alignment horizontal="center" vertical="center" wrapText="1"/>
    </xf>
    <xf numFmtId="168" fontId="15" fillId="0" borderId="37" xfId="20" applyNumberFormat="1" applyFont="1" applyFill="1" applyBorder="1" applyAlignment="1">
      <alignment horizontal="center" vertical="center" wrapText="1"/>
    </xf>
    <xf numFmtId="168" fontId="15" fillId="0" borderId="28" xfId="20" applyNumberFormat="1" applyFont="1" applyFill="1" applyBorder="1" applyAlignment="1">
      <alignment horizontal="center" vertical="center" wrapText="1"/>
    </xf>
    <xf numFmtId="168" fontId="15" fillId="0" borderId="0" xfId="20" applyNumberFormat="1" applyFont="1" applyFill="1" applyBorder="1" applyAlignment="1">
      <alignment horizontal="center" vertical="center" wrapText="1"/>
    </xf>
    <xf numFmtId="168" fontId="15" fillId="0" borderId="14" xfId="20" applyNumberFormat="1" applyFont="1" applyFill="1" applyBorder="1" applyAlignment="1">
      <alignment horizontal="center" vertical="center" wrapText="1"/>
    </xf>
    <xf numFmtId="168" fontId="15" fillId="0" borderId="11" xfId="20" applyNumberFormat="1" applyFont="1" applyFill="1" applyBorder="1" applyAlignment="1">
      <alignment horizontal="center" vertical="center" wrapText="1"/>
    </xf>
    <xf numFmtId="168" fontId="15" fillId="0" borderId="13" xfId="20" applyNumberFormat="1" applyFont="1" applyFill="1" applyBorder="1" applyAlignment="1">
      <alignment horizontal="center" vertical="center" wrapText="1"/>
    </xf>
    <xf numFmtId="168" fontId="17" fillId="0" borderId="14" xfId="20" applyNumberFormat="1" applyFont="1" applyFill="1" applyBorder="1" applyAlignment="1">
      <alignment horizontal="center" vertical="center" wrapText="1"/>
    </xf>
    <xf numFmtId="168" fontId="17" fillId="0" borderId="11" xfId="20" applyNumberFormat="1" applyFont="1" applyFill="1" applyBorder="1" applyAlignment="1">
      <alignment horizontal="center" vertical="center" wrapText="1"/>
    </xf>
    <xf numFmtId="168" fontId="17" fillId="0" borderId="13" xfId="20" applyNumberFormat="1" applyFont="1" applyFill="1" applyBorder="1" applyAlignment="1">
      <alignment horizontal="center" vertical="center" wrapText="1"/>
    </xf>
    <xf numFmtId="168" fontId="17" fillId="0" borderId="0" xfId="20" applyNumberFormat="1" applyFont="1" applyFill="1" applyBorder="1" applyAlignment="1">
      <alignment horizontal="center" vertical="center" wrapText="1"/>
    </xf>
    <xf numFmtId="168" fontId="15" fillId="0" borderId="39" xfId="20" applyNumberFormat="1" applyFont="1" applyFill="1" applyBorder="1" applyAlignment="1">
      <alignment horizontal="center" vertical="center" wrapText="1"/>
    </xf>
    <xf numFmtId="168" fontId="15" fillId="0" borderId="15" xfId="20" applyNumberFormat="1" applyFont="1" applyFill="1" applyBorder="1" applyAlignment="1">
      <alignment horizontal="center" vertical="center" wrapText="1"/>
    </xf>
    <xf numFmtId="168" fontId="17" fillId="0" borderId="37" xfId="20" applyNumberFormat="1" applyFont="1" applyFill="1" applyBorder="1" applyAlignment="1">
      <alignment horizontal="center" vertical="center" wrapText="1"/>
    </xf>
    <xf numFmtId="168" fontId="17" fillId="0" borderId="28" xfId="20" applyNumberFormat="1" applyFont="1" applyFill="1" applyBorder="1" applyAlignment="1">
      <alignment horizontal="center" vertical="center" wrapText="1"/>
    </xf>
    <xf numFmtId="168" fontId="17" fillId="0" borderId="39" xfId="20" applyNumberFormat="1" applyFont="1" applyFill="1" applyBorder="1" applyAlignment="1">
      <alignment horizontal="center" vertical="center" wrapText="1"/>
    </xf>
    <xf numFmtId="168" fontId="17" fillId="0" borderId="15" xfId="20" applyNumberFormat="1" applyFont="1" applyFill="1" applyBorder="1" applyAlignment="1">
      <alignment horizontal="center" vertical="center" wrapText="1"/>
    </xf>
    <xf numFmtId="168" fontId="15" fillId="0" borderId="25" xfId="20" applyNumberFormat="1" applyFont="1" applyFill="1" applyBorder="1" applyAlignment="1">
      <alignment horizontal="center" vertical="center" wrapText="1"/>
    </xf>
    <xf numFmtId="168" fontId="15" fillId="0" borderId="12" xfId="20" applyNumberFormat="1" applyFont="1" applyFill="1" applyBorder="1" applyAlignment="1">
      <alignment horizontal="center" vertical="center" wrapText="1"/>
    </xf>
    <xf numFmtId="168" fontId="17" fillId="0" borderId="25" xfId="20" applyNumberFormat="1" applyFont="1" applyFill="1" applyBorder="1" applyAlignment="1">
      <alignment horizontal="center" vertical="center" wrapText="1"/>
    </xf>
    <xf numFmtId="168" fontId="15" fillId="0" borderId="42" xfId="20" applyNumberFormat="1" applyFont="1" applyFill="1" applyBorder="1" applyAlignment="1">
      <alignment horizontal="center" vertical="center" wrapText="1"/>
    </xf>
    <xf numFmtId="168" fontId="15" fillId="0" borderId="43" xfId="20" applyNumberFormat="1" applyFont="1" applyFill="1" applyBorder="1" applyAlignment="1">
      <alignment horizontal="center" vertical="center" wrapText="1"/>
    </xf>
    <xf numFmtId="168" fontId="15" fillId="0" borderId="34" xfId="20" applyNumberFormat="1" applyFont="1" applyFill="1" applyBorder="1" applyAlignment="1">
      <alignment horizontal="center" vertical="center" wrapText="1"/>
    </xf>
    <xf numFmtId="166" fontId="9" fillId="0" borderId="0" xfId="19" applyNumberFormat="1" applyFont="1" applyAlignment="1">
      <alignment horizontal="center"/>
    </xf>
    <xf numFmtId="167" fontId="6" fillId="0" borderId="0" xfId="0" applyNumberFormat="1" applyFont="1"/>
    <xf numFmtId="168" fontId="15" fillId="0" borderId="1" xfId="20" applyNumberFormat="1" applyFont="1" applyFill="1" applyBorder="1" applyAlignment="1">
      <alignment horizontal="center" vertical="center" wrapText="1"/>
    </xf>
    <xf numFmtId="0" fontId="15" fillId="0" borderId="1" xfId="20" applyFont="1" applyFill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15" fillId="0" borderId="1" xfId="20" applyFont="1" applyFill="1" applyBorder="1" applyAlignment="1">
      <alignment horizontal="center" vertical="center" wrapText="1"/>
    </xf>
    <xf numFmtId="165" fontId="4" fillId="2" borderId="54" xfId="0" applyNumberFormat="1" applyFont="1" applyFill="1" applyBorder="1" applyAlignment="1">
      <alignment horizontal="left" vertical="center" wrapText="1"/>
    </xf>
    <xf numFmtId="0" fontId="4" fillId="0" borderId="46" xfId="20" applyFont="1" applyBorder="1" applyAlignment="1">
      <alignment vertical="center" wrapText="1"/>
    </xf>
    <xf numFmtId="0" fontId="4" fillId="0" borderId="30" xfId="2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7" fontId="4" fillId="2" borderId="9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 vertical="center" wrapText="1"/>
    </xf>
    <xf numFmtId="167" fontId="4" fillId="0" borderId="9" xfId="0" applyNumberFormat="1" applyFont="1" applyBorder="1" applyAlignment="1">
      <alignment horizontal="center" vertical="center" wrapText="1"/>
    </xf>
    <xf numFmtId="165" fontId="4" fillId="0" borderId="22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2" borderId="23" xfId="0" applyNumberFormat="1" applyFont="1" applyFill="1" applyBorder="1" applyAlignment="1">
      <alignment horizontal="center" vertical="center" wrapText="1"/>
    </xf>
    <xf numFmtId="167" fontId="4" fillId="0" borderId="11" xfId="0" applyNumberFormat="1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 wrapText="1"/>
    </xf>
    <xf numFmtId="166" fontId="2" fillId="0" borderId="0" xfId="20" applyNumberFormat="1" applyFont="1" applyFill="1"/>
    <xf numFmtId="166" fontId="29" fillId="0" borderId="5" xfId="20" applyNumberFormat="1" applyFont="1" applyFill="1" applyBorder="1" applyAlignment="1">
      <alignment horizontal="center" vertical="center" wrapText="1"/>
    </xf>
    <xf numFmtId="166" fontId="30" fillId="0" borderId="5" xfId="20" applyNumberFormat="1" applyFont="1" applyFill="1" applyBorder="1" applyAlignment="1">
      <alignment vertical="center" wrapText="1"/>
    </xf>
    <xf numFmtId="166" fontId="30" fillId="0" borderId="5" xfId="20" applyNumberFormat="1" applyFont="1" applyFill="1" applyBorder="1" applyAlignment="1">
      <alignment horizontal="center" vertical="center" wrapText="1"/>
    </xf>
    <xf numFmtId="166" fontId="31" fillId="0" borderId="5" xfId="20" applyNumberFormat="1" applyFont="1" applyFill="1" applyBorder="1" applyAlignment="1">
      <alignment horizontal="center" vertical="center" wrapText="1"/>
    </xf>
    <xf numFmtId="168" fontId="31" fillId="0" borderId="14" xfId="20" applyNumberFormat="1" applyFont="1" applyFill="1" applyBorder="1" applyAlignment="1">
      <alignment horizontal="center" vertical="center" wrapText="1"/>
    </xf>
    <xf numFmtId="168" fontId="31" fillId="0" borderId="11" xfId="20" applyNumberFormat="1" applyFont="1" applyFill="1" applyBorder="1" applyAlignment="1">
      <alignment horizontal="center" vertical="center" wrapText="1"/>
    </xf>
    <xf numFmtId="168" fontId="31" fillId="0" borderId="13" xfId="20" applyNumberFormat="1" applyFont="1" applyFill="1" applyBorder="1" applyAlignment="1">
      <alignment horizontal="center" vertical="center" wrapText="1"/>
    </xf>
    <xf numFmtId="166" fontId="31" fillId="0" borderId="14" xfId="20" applyNumberFormat="1" applyFont="1" applyFill="1" applyBorder="1" applyAlignment="1">
      <alignment horizontal="center" vertical="center" wrapText="1"/>
    </xf>
    <xf numFmtId="166" fontId="31" fillId="0" borderId="11" xfId="20" applyNumberFormat="1" applyFont="1" applyFill="1" applyBorder="1" applyAlignment="1">
      <alignment horizontal="center" vertical="center" wrapText="1"/>
    </xf>
    <xf numFmtId="166" fontId="31" fillId="0" borderId="13" xfId="20" applyNumberFormat="1" applyFont="1" applyFill="1" applyBorder="1" applyAlignment="1">
      <alignment horizontal="center" vertical="center" wrapText="1"/>
    </xf>
    <xf numFmtId="166" fontId="31" fillId="0" borderId="38" xfId="20" applyNumberFormat="1" applyFont="1" applyFill="1" applyBorder="1" applyAlignment="1">
      <alignment horizontal="center" vertical="center" wrapText="1"/>
    </xf>
    <xf numFmtId="166" fontId="30" fillId="0" borderId="19" xfId="20" applyNumberFormat="1" applyFont="1" applyFill="1" applyBorder="1" applyAlignment="1">
      <alignment vertical="center"/>
    </xf>
    <xf numFmtId="166" fontId="30" fillId="0" borderId="0" xfId="20" applyNumberFormat="1" applyFont="1" applyFill="1" applyAlignment="1">
      <alignment vertical="center"/>
    </xf>
    <xf numFmtId="0" fontId="8" fillId="0" borderId="0" xfId="19" applyFont="1"/>
    <xf numFmtId="0" fontId="4" fillId="3" borderId="1" xfId="24" applyFont="1" applyFill="1" applyBorder="1" applyAlignment="1">
      <alignment horizontal="justify" vertical="center" wrapText="1"/>
    </xf>
    <xf numFmtId="165" fontId="4" fillId="3" borderId="33" xfId="20" applyNumberFormat="1" applyFont="1" applyFill="1" applyBorder="1" applyAlignment="1">
      <alignment horizontal="center" vertical="center" wrapText="1"/>
    </xf>
    <xf numFmtId="0" fontId="4" fillId="3" borderId="1" xfId="20" applyFont="1" applyFill="1" applyBorder="1" applyAlignment="1">
      <alignment horizontal="center" vertical="center" wrapText="1"/>
    </xf>
    <xf numFmtId="0" fontId="4" fillId="3" borderId="1" xfId="20" applyFont="1" applyFill="1" applyBorder="1" applyAlignment="1">
      <alignment vertical="center" wrapText="1"/>
    </xf>
    <xf numFmtId="166" fontId="4" fillId="3" borderId="33" xfId="20" applyNumberFormat="1" applyFont="1" applyFill="1" applyBorder="1" applyAlignment="1">
      <alignment horizontal="center" vertical="center" wrapText="1"/>
    </xf>
    <xf numFmtId="0" fontId="4" fillId="3" borderId="1" xfId="24" applyFont="1" applyFill="1" applyBorder="1" applyAlignment="1">
      <alignment horizontal="justify" vertical="top" wrapText="1"/>
    </xf>
    <xf numFmtId="165" fontId="4" fillId="3" borderId="1" xfId="20" applyNumberFormat="1" applyFont="1" applyFill="1" applyBorder="1" applyAlignment="1">
      <alignment horizontal="center" vertical="center" wrapText="1"/>
    </xf>
    <xf numFmtId="0" fontId="4" fillId="3" borderId="1" xfId="24" applyFont="1" applyFill="1" applyBorder="1" applyAlignment="1">
      <alignment horizontal="left" vertical="top" wrapText="1"/>
    </xf>
    <xf numFmtId="2" fontId="4" fillId="3" borderId="33" xfId="20" applyNumberFormat="1" applyFont="1" applyFill="1" applyBorder="1" applyAlignment="1">
      <alignment horizontal="center" vertical="center" wrapText="1"/>
    </xf>
    <xf numFmtId="166" fontId="4" fillId="3" borderId="47" xfId="2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4" fillId="3" borderId="10" xfId="0" applyNumberFormat="1" applyFont="1" applyFill="1" applyBorder="1" applyAlignment="1">
      <alignment horizontal="center" vertical="center" wrapText="1"/>
    </xf>
    <xf numFmtId="165" fontId="4" fillId="3" borderId="9" xfId="0" applyNumberFormat="1" applyFont="1" applyFill="1" applyBorder="1" applyAlignment="1">
      <alignment horizontal="center" vertical="center" wrapText="1"/>
    </xf>
    <xf numFmtId="165" fontId="4" fillId="3" borderId="50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3" borderId="32" xfId="0" applyNumberFormat="1" applyFont="1" applyFill="1" applyBorder="1" applyAlignment="1">
      <alignment horizontal="left" vertical="center" wrapText="1"/>
    </xf>
    <xf numFmtId="1" fontId="4" fillId="3" borderId="52" xfId="0" applyNumberFormat="1" applyFont="1" applyFill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3" borderId="31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167" fontId="4" fillId="3" borderId="9" xfId="0" applyNumberFormat="1" applyFont="1" applyFill="1" applyBorder="1" applyAlignment="1">
      <alignment horizontal="center" vertical="center" wrapText="1"/>
    </xf>
    <xf numFmtId="167" fontId="4" fillId="3" borderId="22" xfId="0" applyNumberFormat="1" applyFont="1" applyFill="1" applyBorder="1" applyAlignment="1">
      <alignment horizontal="center" vertical="center" wrapText="1"/>
    </xf>
    <xf numFmtId="167" fontId="4" fillId="3" borderId="29" xfId="0" applyNumberFormat="1" applyFont="1" applyFill="1" applyBorder="1" applyAlignment="1">
      <alignment horizontal="left" vertical="center" wrapText="1"/>
    </xf>
    <xf numFmtId="165" fontId="4" fillId="3" borderId="7" xfId="0" applyNumberFormat="1" applyFont="1" applyFill="1" applyBorder="1" applyAlignment="1">
      <alignment horizontal="center" vertical="center" wrapText="1"/>
    </xf>
    <xf numFmtId="165" fontId="4" fillId="3" borderId="31" xfId="0" applyNumberFormat="1" applyFont="1" applyFill="1" applyBorder="1" applyAlignment="1">
      <alignment horizontal="center" vertical="center" wrapText="1"/>
    </xf>
    <xf numFmtId="165" fontId="4" fillId="3" borderId="32" xfId="0" applyNumberFormat="1" applyFont="1" applyFill="1" applyBorder="1" applyAlignment="1">
      <alignment horizontal="center" vertical="center" wrapText="1"/>
    </xf>
    <xf numFmtId="165" fontId="4" fillId="3" borderId="54" xfId="0" applyNumberFormat="1" applyFont="1" applyFill="1" applyBorder="1" applyAlignment="1">
      <alignment horizontal="left" vertical="center" wrapText="1"/>
    </xf>
    <xf numFmtId="2" fontId="4" fillId="3" borderId="9" xfId="0" applyNumberFormat="1" applyFont="1" applyFill="1" applyBorder="1" applyAlignment="1">
      <alignment horizontal="center" vertical="center" wrapText="1"/>
    </xf>
    <xf numFmtId="165" fontId="4" fillId="3" borderId="23" xfId="0" applyNumberFormat="1" applyFont="1" applyFill="1" applyBorder="1" applyAlignment="1">
      <alignment horizontal="center" vertical="center" wrapText="1"/>
    </xf>
    <xf numFmtId="165" fontId="5" fillId="3" borderId="23" xfId="0" applyNumberFormat="1" applyFont="1" applyFill="1" applyBorder="1" applyAlignment="1">
      <alignment horizontal="center" vertical="center" wrapText="1"/>
    </xf>
    <xf numFmtId="165" fontId="4" fillId="3" borderId="22" xfId="0" applyNumberFormat="1" applyFont="1" applyFill="1" applyBorder="1" applyAlignment="1">
      <alignment horizontal="center" vertical="center" wrapText="1"/>
    </xf>
    <xf numFmtId="165" fontId="4" fillId="3" borderId="29" xfId="0" applyNumberFormat="1" applyFont="1" applyFill="1" applyBorder="1" applyAlignment="1">
      <alignment horizontal="center" vertical="center" wrapText="1"/>
    </xf>
    <xf numFmtId="165" fontId="4" fillId="3" borderId="8" xfId="0" applyNumberFormat="1" applyFont="1" applyFill="1" applyBorder="1" applyAlignment="1">
      <alignment horizontal="center" vertical="center" wrapText="1"/>
    </xf>
    <xf numFmtId="165" fontId="4" fillId="3" borderId="38" xfId="0" applyNumberFormat="1" applyFont="1" applyFill="1" applyBorder="1" applyAlignment="1">
      <alignment horizontal="left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3" borderId="50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167" fontId="4" fillId="3" borderId="16" xfId="0" applyNumberFormat="1" applyFont="1" applyFill="1" applyBorder="1" applyAlignment="1">
      <alignment horizontal="center" vertical="center" wrapText="1"/>
    </xf>
    <xf numFmtId="165" fontId="4" fillId="3" borderId="38" xfId="0" applyNumberFormat="1" applyFont="1" applyFill="1" applyBorder="1" applyAlignment="1">
      <alignment horizontal="center" vertical="center" wrapText="1"/>
    </xf>
    <xf numFmtId="2" fontId="4" fillId="3" borderId="38" xfId="0" applyNumberFormat="1" applyFont="1" applyFill="1" applyBorder="1" applyAlignment="1">
      <alignment horizontal="center" vertical="center" wrapText="1"/>
    </xf>
    <xf numFmtId="167" fontId="4" fillId="3" borderId="38" xfId="0" applyNumberFormat="1" applyFont="1" applyFill="1" applyBorder="1" applyAlignment="1">
      <alignment horizontal="left" vertical="center" wrapText="1"/>
    </xf>
    <xf numFmtId="165" fontId="4" fillId="3" borderId="51" xfId="0" applyNumberFormat="1" applyFont="1" applyFill="1" applyBorder="1" applyAlignment="1">
      <alignment horizontal="center" vertical="center" wrapText="1"/>
    </xf>
    <xf numFmtId="1" fontId="4" fillId="3" borderId="32" xfId="0" applyNumberFormat="1" applyFont="1" applyFill="1" applyBorder="1" applyAlignment="1">
      <alignment horizontal="center" vertical="center" wrapText="1"/>
    </xf>
    <xf numFmtId="1" fontId="4" fillId="3" borderId="38" xfId="0" applyNumberFormat="1" applyFont="1" applyFill="1" applyBorder="1" applyAlignment="1">
      <alignment horizontal="center" vertical="center" wrapText="1"/>
    </xf>
    <xf numFmtId="1" fontId="4" fillId="3" borderId="43" xfId="0" applyNumberFormat="1" applyFont="1" applyFill="1" applyBorder="1" applyAlignment="1">
      <alignment horizontal="center" vertical="center" wrapText="1"/>
    </xf>
    <xf numFmtId="1" fontId="4" fillId="3" borderId="5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167" fontId="4" fillId="3" borderId="29" xfId="0" applyNumberFormat="1" applyFont="1" applyFill="1" applyBorder="1" applyAlignment="1">
      <alignment horizontal="center" vertical="center" wrapText="1"/>
    </xf>
    <xf numFmtId="165" fontId="4" fillId="3" borderId="40" xfId="0" applyNumberFormat="1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1" fontId="4" fillId="3" borderId="40" xfId="0" applyNumberFormat="1" applyFont="1" applyFill="1" applyBorder="1" applyAlignment="1">
      <alignment horizontal="center" vertical="center" wrapText="1"/>
    </xf>
    <xf numFmtId="167" fontId="4" fillId="3" borderId="38" xfId="0" applyNumberFormat="1" applyFont="1" applyFill="1" applyBorder="1" applyAlignment="1">
      <alignment horizontal="center" vertical="center" wrapText="1"/>
    </xf>
    <xf numFmtId="167" fontId="4" fillId="3" borderId="52" xfId="0" applyNumberFormat="1" applyFont="1" applyFill="1" applyBorder="1" applyAlignment="1">
      <alignment horizontal="center" vertical="center" wrapText="1"/>
    </xf>
    <xf numFmtId="167" fontId="4" fillId="3" borderId="43" xfId="0" applyNumberFormat="1" applyFont="1" applyFill="1" applyBorder="1" applyAlignment="1">
      <alignment horizontal="center" vertical="center" wrapText="1"/>
    </xf>
    <xf numFmtId="1" fontId="4" fillId="3" borderId="38" xfId="0" applyNumberFormat="1" applyFont="1" applyFill="1" applyBorder="1" applyAlignment="1">
      <alignment horizontal="left" vertic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1" fontId="4" fillId="3" borderId="15" xfId="0" applyNumberFormat="1" applyFont="1" applyFill="1" applyBorder="1" applyAlignment="1">
      <alignment horizontal="center" vertical="center" wrapText="1"/>
    </xf>
    <xf numFmtId="167" fontId="4" fillId="3" borderId="11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left" vertical="center" wrapText="1"/>
    </xf>
    <xf numFmtId="165" fontId="4" fillId="3" borderId="16" xfId="0" applyNumberFormat="1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left" vertical="center" wrapText="1"/>
    </xf>
    <xf numFmtId="1" fontId="4" fillId="3" borderId="45" xfId="0" applyNumberFormat="1" applyFont="1" applyFill="1" applyBorder="1" applyAlignment="1">
      <alignment horizontal="center" vertical="center" wrapText="1"/>
    </xf>
    <xf numFmtId="0" fontId="36" fillId="0" borderId="19" xfId="0" applyFont="1" applyBorder="1"/>
    <xf numFmtId="0" fontId="36" fillId="0" borderId="0" xfId="0" applyFont="1"/>
    <xf numFmtId="0" fontId="38" fillId="0" borderId="0" xfId="0" applyFont="1"/>
    <xf numFmtId="0" fontId="35" fillId="0" borderId="0" xfId="30" applyFont="1" applyAlignment="1">
      <alignment horizontal="center"/>
    </xf>
    <xf numFmtId="0" fontId="8" fillId="0" borderId="34" xfId="30" applyFont="1" applyBorder="1" applyAlignment="1">
      <alignment horizontal="left"/>
    </xf>
    <xf numFmtId="2" fontId="4" fillId="3" borderId="1" xfId="20" applyNumberFormat="1" applyFont="1" applyFill="1" applyBorder="1" applyAlignment="1">
      <alignment horizontal="center" vertical="center" wrapText="1"/>
    </xf>
    <xf numFmtId="166" fontId="4" fillId="3" borderId="1" xfId="20" applyNumberFormat="1" applyFont="1" applyFill="1" applyBorder="1" applyAlignment="1">
      <alignment horizontal="center" vertical="center" wrapText="1"/>
    </xf>
    <xf numFmtId="0" fontId="9" fillId="0" borderId="0" xfId="19" applyFont="1" applyFill="1"/>
    <xf numFmtId="0" fontId="4" fillId="0" borderId="18" xfId="0" applyFont="1" applyBorder="1" applyAlignment="1">
      <alignment horizontal="center" vertical="center" wrapText="1"/>
    </xf>
    <xf numFmtId="1" fontId="4" fillId="0" borderId="32" xfId="0" applyNumberFormat="1" applyFont="1" applyBorder="1" applyAlignment="1">
      <alignment horizontal="left" vertical="center" wrapText="1"/>
    </xf>
    <xf numFmtId="165" fontId="4" fillId="0" borderId="35" xfId="0" applyNumberFormat="1" applyFont="1" applyBorder="1" applyAlignment="1">
      <alignment horizontal="center" vertical="center" wrapText="1"/>
    </xf>
    <xf numFmtId="165" fontId="4" fillId="0" borderId="25" xfId="0" applyNumberFormat="1" applyFont="1" applyBorder="1" applyAlignment="1">
      <alignment horizontal="center" vertical="center" wrapText="1"/>
    </xf>
    <xf numFmtId="167" fontId="8" fillId="0" borderId="0" xfId="26" applyNumberFormat="1" applyFont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65" fontId="12" fillId="0" borderId="0" xfId="0" applyNumberFormat="1" applyFont="1" applyAlignment="1">
      <alignment horizontal="center"/>
    </xf>
    <xf numFmtId="165" fontId="6" fillId="0" borderId="0" xfId="0" applyNumberFormat="1" applyFont="1"/>
    <xf numFmtId="0" fontId="32" fillId="0" borderId="0" xfId="0" applyFont="1"/>
    <xf numFmtId="165" fontId="4" fillId="0" borderId="41" xfId="0" applyNumberFormat="1" applyFont="1" applyBorder="1" applyAlignment="1">
      <alignment horizontal="left" vertical="center" wrapText="1"/>
    </xf>
    <xf numFmtId="165" fontId="4" fillId="3" borderId="41" xfId="0" applyNumberFormat="1" applyFont="1" applyFill="1" applyBorder="1" applyAlignment="1">
      <alignment horizontal="left" vertical="center" wrapText="1"/>
    </xf>
    <xf numFmtId="165" fontId="4" fillId="3" borderId="41" xfId="0" applyNumberFormat="1" applyFont="1" applyFill="1" applyBorder="1" applyAlignment="1">
      <alignment horizontal="center" vertical="center"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0" fontId="37" fillId="0" borderId="0" xfId="20" applyFont="1" applyFill="1"/>
    <xf numFmtId="0" fontId="34" fillId="0" borderId="34" xfId="20" applyFont="1" applyFill="1" applyBorder="1" applyAlignment="1">
      <alignment vertical="center"/>
    </xf>
    <xf numFmtId="0" fontId="34" fillId="0" borderId="0" xfId="20" applyFont="1" applyFill="1" applyBorder="1" applyAlignment="1">
      <alignment vertical="center"/>
    </xf>
    <xf numFmtId="0" fontId="33" fillId="0" borderId="46" xfId="2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4" fillId="0" borderId="60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7" fontId="4" fillId="2" borderId="13" xfId="0" applyNumberFormat="1" applyFont="1" applyFill="1" applyBorder="1" applyAlignment="1">
      <alignment horizontal="center" vertical="center" wrapText="1"/>
    </xf>
    <xf numFmtId="167" fontId="4" fillId="2" borderId="16" xfId="0" applyNumberFormat="1" applyFont="1" applyFill="1" applyBorder="1" applyAlignment="1">
      <alignment horizontal="center" vertical="center" wrapText="1"/>
    </xf>
    <xf numFmtId="167" fontId="4" fillId="2" borderId="43" xfId="0" applyNumberFormat="1" applyFont="1" applyFill="1" applyBorder="1" applyAlignment="1">
      <alignment horizontal="center" vertical="center" wrapText="1"/>
    </xf>
    <xf numFmtId="0" fontId="15" fillId="0" borderId="2" xfId="20" applyFont="1" applyFill="1" applyBorder="1" applyAlignment="1">
      <alignment horizontal="center" vertical="center" wrapText="1"/>
    </xf>
    <xf numFmtId="0" fontId="15" fillId="0" borderId="1" xfId="2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</xf>
    <xf numFmtId="0" fontId="4" fillId="3" borderId="4" xfId="20" applyFont="1" applyFill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4" fillId="3" borderId="4" xfId="24" applyFont="1" applyFill="1" applyBorder="1" applyAlignment="1">
      <alignment horizontal="left" vertical="center" wrapText="1"/>
    </xf>
    <xf numFmtId="165" fontId="4" fillId="3" borderId="2" xfId="20" applyNumberFormat="1" applyFont="1" applyFill="1" applyBorder="1" applyAlignment="1">
      <alignment horizontal="center" vertical="center" wrapText="1"/>
    </xf>
    <xf numFmtId="165" fontId="4" fillId="3" borderId="4" xfId="20" applyNumberFormat="1" applyFont="1" applyFill="1" applyBorder="1" applyAlignment="1">
      <alignment horizontal="center" vertical="center" wrapText="1"/>
    </xf>
    <xf numFmtId="0" fontId="4" fillId="0" borderId="46" xfId="20" applyFont="1" applyBorder="1" applyAlignment="1">
      <alignment horizontal="center" vertical="center" wrapText="1"/>
    </xf>
    <xf numFmtId="165" fontId="4" fillId="3" borderId="40" xfId="0" applyNumberFormat="1" applyFont="1" applyFill="1" applyBorder="1" applyAlignment="1">
      <alignment horizontal="left" vertical="center" wrapText="1"/>
    </xf>
    <xf numFmtId="166" fontId="15" fillId="0" borderId="20" xfId="20" applyNumberFormat="1" applyFont="1" applyFill="1" applyBorder="1" applyAlignment="1">
      <alignment horizontal="center" vertical="center" wrapText="1"/>
    </xf>
    <xf numFmtId="166" fontId="17" fillId="3" borderId="13" xfId="20" applyNumberFormat="1" applyFont="1" applyFill="1" applyBorder="1" applyAlignment="1">
      <alignment horizontal="center" vertical="center" wrapText="1"/>
    </xf>
    <xf numFmtId="0" fontId="5" fillId="3" borderId="1" xfId="20" applyFont="1" applyFill="1" applyBorder="1" applyAlignment="1">
      <alignment horizontal="center" vertical="center" wrapText="1"/>
    </xf>
    <xf numFmtId="0" fontId="4" fillId="3" borderId="1" xfId="20" applyFont="1" applyFill="1" applyBorder="1" applyAlignment="1">
      <alignment horizontal="center" vertical="top" wrapText="1"/>
    </xf>
    <xf numFmtId="165" fontId="4" fillId="3" borderId="1" xfId="20" applyNumberFormat="1" applyFont="1" applyFill="1" applyBorder="1" applyAlignment="1">
      <alignment horizontal="left" vertical="center" wrapText="1"/>
    </xf>
    <xf numFmtId="165" fontId="5" fillId="3" borderId="33" xfId="20" applyNumberFormat="1" applyFont="1" applyFill="1" applyBorder="1" applyAlignment="1">
      <alignment horizontal="center" vertical="center" wrapText="1"/>
    </xf>
    <xf numFmtId="166" fontId="5" fillId="3" borderId="48" xfId="20" applyNumberFormat="1" applyFont="1" applyFill="1" applyBorder="1" applyAlignment="1">
      <alignment horizontal="center" vertical="center" wrapText="1"/>
    </xf>
    <xf numFmtId="165" fontId="5" fillId="3" borderId="1" xfId="20" applyNumberFormat="1" applyFont="1" applyFill="1" applyBorder="1" applyAlignment="1">
      <alignment horizontal="center" vertical="center" wrapText="1"/>
    </xf>
    <xf numFmtId="0" fontId="5" fillId="3" borderId="4" xfId="20" applyFont="1" applyFill="1" applyBorder="1" applyAlignment="1">
      <alignment horizontal="center" vertical="center" wrapText="1"/>
    </xf>
    <xf numFmtId="166" fontId="4" fillId="3" borderId="48" xfId="20" applyNumberFormat="1" applyFont="1" applyFill="1" applyBorder="1" applyAlignment="1">
      <alignment horizontal="center" vertical="center" wrapText="1"/>
    </xf>
    <xf numFmtId="165" fontId="4" fillId="3" borderId="48" xfId="20" applyNumberFormat="1" applyFont="1" applyFill="1" applyBorder="1" applyAlignment="1">
      <alignment horizontal="center" vertical="center" wrapText="1"/>
    </xf>
    <xf numFmtId="165" fontId="4" fillId="3" borderId="4" xfId="20" applyNumberFormat="1" applyFont="1" applyFill="1" applyBorder="1" applyAlignment="1">
      <alignment horizontal="left" vertical="center" wrapText="1"/>
    </xf>
    <xf numFmtId="0" fontId="5" fillId="3" borderId="2" xfId="20" applyFont="1" applyFill="1" applyBorder="1" applyAlignment="1">
      <alignment horizontal="center" vertical="center" wrapText="1"/>
    </xf>
    <xf numFmtId="0" fontId="5" fillId="3" borderId="1" xfId="20" applyFont="1" applyFill="1" applyBorder="1" applyAlignment="1">
      <alignment vertical="center" wrapText="1"/>
    </xf>
    <xf numFmtId="165" fontId="5" fillId="3" borderId="48" xfId="20" applyNumberFormat="1" applyFont="1" applyFill="1" applyBorder="1" applyAlignment="1">
      <alignment horizontal="center" vertical="center" wrapText="1"/>
    </xf>
    <xf numFmtId="0" fontId="4" fillId="3" borderId="2" xfId="20" applyFont="1" applyFill="1" applyBorder="1" applyAlignment="1">
      <alignment vertical="center" wrapText="1"/>
    </xf>
    <xf numFmtId="0" fontId="4" fillId="3" borderId="24" xfId="2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165" fontId="4" fillId="3" borderId="47" xfId="20" applyNumberFormat="1" applyFont="1" applyFill="1" applyBorder="1" applyAlignment="1">
      <alignment horizontal="center" vertical="center" wrapText="1"/>
    </xf>
    <xf numFmtId="166" fontId="5" fillId="3" borderId="1" xfId="20" applyNumberFormat="1" applyFont="1" applyFill="1" applyBorder="1" applyAlignment="1">
      <alignment horizontal="center" vertical="center" wrapText="1"/>
    </xf>
    <xf numFmtId="0" fontId="4" fillId="3" borderId="0" xfId="20" applyFont="1" applyFill="1" applyBorder="1" applyAlignment="1"/>
    <xf numFmtId="0" fontId="4" fillId="3" borderId="0" xfId="20" applyFont="1" applyFill="1" applyBorder="1" applyAlignment="1">
      <alignment horizontal="center"/>
    </xf>
    <xf numFmtId="0" fontId="4" fillId="3" borderId="0" xfId="20" applyFont="1" applyFill="1" applyBorder="1"/>
    <xf numFmtId="166" fontId="5" fillId="3" borderId="0" xfId="20" applyNumberFormat="1" applyFont="1" applyFill="1" applyBorder="1" applyAlignment="1">
      <alignment horizontal="center"/>
    </xf>
    <xf numFmtId="0" fontId="4" fillId="3" borderId="30" xfId="20" applyFont="1" applyFill="1" applyBorder="1" applyAlignment="1">
      <alignment horizontal="center" vertical="center" wrapText="1"/>
    </xf>
    <xf numFmtId="0" fontId="4" fillId="3" borderId="33" xfId="20" applyFont="1" applyFill="1" applyBorder="1" applyAlignment="1">
      <alignment horizontal="center" vertical="center" wrapText="1"/>
    </xf>
    <xf numFmtId="0" fontId="4" fillId="3" borderId="1" xfId="20" applyFont="1" applyFill="1" applyBorder="1" applyAlignment="1">
      <alignment horizontal="center"/>
    </xf>
    <xf numFmtId="0" fontId="4" fillId="3" borderId="1" xfId="20" applyFont="1" applyFill="1" applyBorder="1" applyAlignment="1"/>
    <xf numFmtId="0" fontId="4" fillId="3" borderId="0" xfId="20" applyFont="1" applyFill="1" applyBorder="1" applyAlignment="1">
      <alignment horizontal="left" wrapText="1"/>
    </xf>
    <xf numFmtId="0" fontId="4" fillId="3" borderId="1" xfId="24" applyFont="1" applyFill="1" applyBorder="1" applyAlignment="1">
      <alignment horizontal="left" vertical="center" wrapText="1"/>
    </xf>
    <xf numFmtId="0" fontId="4" fillId="3" borderId="4" xfId="24" applyFont="1" applyFill="1" applyBorder="1" applyAlignment="1">
      <alignment horizontal="justify" vertical="top" wrapText="1"/>
    </xf>
    <xf numFmtId="0" fontId="5" fillId="3" borderId="4" xfId="24" applyFont="1" applyFill="1" applyBorder="1" applyAlignment="1">
      <alignment horizontal="justify" vertical="top" wrapText="1"/>
    </xf>
    <xf numFmtId="0" fontId="5" fillId="3" borderId="1" xfId="24" applyFont="1" applyFill="1" applyBorder="1" applyAlignment="1">
      <alignment horizontal="justify" vertical="top" wrapText="1"/>
    </xf>
    <xf numFmtId="0" fontId="4" fillId="3" borderId="4" xfId="24" applyFont="1" applyFill="1" applyBorder="1" applyAlignment="1">
      <alignment horizontal="left" vertical="top" wrapText="1"/>
    </xf>
    <xf numFmtId="166" fontId="5" fillId="3" borderId="33" xfId="20" applyNumberFormat="1" applyFont="1" applyFill="1" applyBorder="1" applyAlignment="1">
      <alignment horizontal="center" vertical="center" wrapText="1"/>
    </xf>
    <xf numFmtId="0" fontId="4" fillId="3" borderId="4" xfId="24" applyFont="1" applyFill="1" applyBorder="1" applyAlignment="1">
      <alignment vertical="center" wrapText="1"/>
    </xf>
    <xf numFmtId="166" fontId="4" fillId="3" borderId="1" xfId="24" applyNumberFormat="1" applyFont="1" applyFill="1" applyBorder="1" applyAlignment="1">
      <alignment horizontal="center" vertical="center" wrapText="1"/>
    </xf>
    <xf numFmtId="0" fontId="4" fillId="3" borderId="4" xfId="20" applyFont="1" applyFill="1" applyBorder="1" applyAlignment="1">
      <alignment horizontal="center" vertical="center"/>
    </xf>
    <xf numFmtId="0" fontId="41" fillId="3" borderId="0" xfId="19" applyFont="1" applyFill="1"/>
    <xf numFmtId="0" fontId="41" fillId="3" borderId="1" xfId="19" applyFont="1" applyFill="1" applyBorder="1"/>
    <xf numFmtId="0" fontId="41" fillId="3" borderId="0" xfId="19" applyFont="1" applyFill="1" applyBorder="1"/>
    <xf numFmtId="0" fontId="41" fillId="3" borderId="27" xfId="19" applyFont="1" applyFill="1" applyBorder="1"/>
    <xf numFmtId="0" fontId="41" fillId="3" borderId="1" xfId="0" applyFont="1" applyFill="1" applyBorder="1"/>
    <xf numFmtId="165" fontId="4" fillId="3" borderId="25" xfId="0" applyNumberFormat="1" applyFont="1" applyFill="1" applyBorder="1" applyAlignment="1">
      <alignment horizontal="center" vertical="center" wrapText="1"/>
    </xf>
    <xf numFmtId="165" fontId="4" fillId="3" borderId="35" xfId="0" applyNumberFormat="1" applyFont="1" applyFill="1" applyBorder="1" applyAlignment="1">
      <alignment horizontal="center" vertical="center" wrapText="1"/>
    </xf>
    <xf numFmtId="165" fontId="4" fillId="3" borderId="14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horizontal="center" vertical="center" wrapText="1"/>
    </xf>
    <xf numFmtId="1" fontId="4" fillId="3" borderId="64" xfId="0" applyNumberFormat="1" applyFont="1" applyFill="1" applyBorder="1" applyAlignment="1">
      <alignment horizontal="center" vertical="center" wrapText="1"/>
    </xf>
    <xf numFmtId="1" fontId="4" fillId="3" borderId="61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167" fontId="4" fillId="3" borderId="14" xfId="0" applyNumberFormat="1" applyFont="1" applyFill="1" applyBorder="1" applyAlignment="1">
      <alignment horizontal="center" vertical="center" wrapText="1"/>
    </xf>
    <xf numFmtId="167" fontId="4" fillId="3" borderId="13" xfId="0" applyNumberFormat="1" applyFont="1" applyFill="1" applyBorder="1" applyAlignment="1">
      <alignment horizontal="center" vertical="center" wrapText="1"/>
    </xf>
    <xf numFmtId="165" fontId="4" fillId="3" borderId="64" xfId="0" applyNumberFormat="1" applyFont="1" applyFill="1" applyBorder="1" applyAlignment="1">
      <alignment horizontal="center" vertical="center" wrapText="1"/>
    </xf>
    <xf numFmtId="165" fontId="4" fillId="3" borderId="61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justify" vertical="top" wrapText="1"/>
    </xf>
    <xf numFmtId="165" fontId="4" fillId="0" borderId="50" xfId="0" applyNumberFormat="1" applyFont="1" applyBorder="1" applyAlignment="1">
      <alignment horizontal="center" vertical="center" wrapText="1"/>
    </xf>
    <xf numFmtId="165" fontId="4" fillId="3" borderId="60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" fontId="4" fillId="3" borderId="25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4" fillId="0" borderId="4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20" xfId="24" applyFont="1" applyBorder="1" applyAlignment="1">
      <alignment horizontal="justify" vertical="top" wrapText="1"/>
    </xf>
    <xf numFmtId="1" fontId="4" fillId="0" borderId="38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1" fontId="4" fillId="3" borderId="58" xfId="0" applyNumberFormat="1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horizontal="left" vertical="center" wrapText="1"/>
    </xf>
    <xf numFmtId="1" fontId="4" fillId="0" borderId="32" xfId="0" applyNumberFormat="1" applyFont="1" applyBorder="1" applyAlignment="1">
      <alignment horizontal="center" vertical="center" wrapText="1"/>
    </xf>
    <xf numFmtId="165" fontId="4" fillId="3" borderId="58" xfId="0" applyNumberFormat="1" applyFont="1" applyFill="1" applyBorder="1" applyAlignment="1">
      <alignment horizontal="center" vertical="center" wrapText="1"/>
    </xf>
    <xf numFmtId="1" fontId="4" fillId="3" borderId="20" xfId="0" applyNumberFormat="1" applyFont="1" applyFill="1" applyBorder="1" applyAlignment="1">
      <alignment horizontal="center" vertical="center" wrapText="1"/>
    </xf>
    <xf numFmtId="165" fontId="4" fillId="0" borderId="39" xfId="0" applyNumberFormat="1" applyFont="1" applyBorder="1" applyAlignment="1">
      <alignment horizontal="center" vertical="center" wrapText="1"/>
    </xf>
    <xf numFmtId="165" fontId="4" fillId="0" borderId="40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3" borderId="39" xfId="0" applyNumberFormat="1" applyFont="1" applyFill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 vertical="center" wrapText="1"/>
    </xf>
    <xf numFmtId="165" fontId="4" fillId="0" borderId="32" xfId="0" applyNumberFormat="1" applyFont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1" fontId="4" fillId="2" borderId="38" xfId="0" applyNumberFormat="1" applyFont="1" applyFill="1" applyBorder="1" applyAlignment="1">
      <alignment horizontal="center" vertical="center" wrapText="1"/>
    </xf>
    <xf numFmtId="1" fontId="4" fillId="2" borderId="32" xfId="0" applyNumberFormat="1" applyFont="1" applyFill="1" applyBorder="1" applyAlignment="1">
      <alignment horizontal="left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1" fontId="4" fillId="3" borderId="28" xfId="0" applyNumberFormat="1" applyFont="1" applyFill="1" applyBorder="1" applyAlignment="1">
      <alignment horizontal="center" vertical="center" wrapText="1"/>
    </xf>
    <xf numFmtId="1" fontId="4" fillId="3" borderId="63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9" xfId="24" applyFont="1" applyBorder="1" applyAlignment="1">
      <alignment horizontal="justify" vertical="top" wrapText="1"/>
    </xf>
    <xf numFmtId="1" fontId="4" fillId="2" borderId="42" xfId="0" applyNumberFormat="1" applyFont="1" applyFill="1" applyBorder="1" applyAlignment="1">
      <alignment horizontal="center" vertical="center" wrapText="1"/>
    </xf>
    <xf numFmtId="1" fontId="4" fillId="2" borderId="53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52" xfId="0" applyNumberFormat="1" applyFont="1" applyFill="1" applyBorder="1" applyAlignment="1">
      <alignment horizontal="center" vertical="center" wrapText="1"/>
    </xf>
    <xf numFmtId="1" fontId="4" fillId="3" borderId="44" xfId="0" applyNumberFormat="1" applyFont="1" applyFill="1" applyBorder="1" applyAlignment="1">
      <alignment horizontal="center" vertical="center" wrapText="1"/>
    </xf>
    <xf numFmtId="1" fontId="4" fillId="3" borderId="51" xfId="0" applyNumberFormat="1" applyFont="1" applyFill="1" applyBorder="1" applyAlignment="1">
      <alignment horizontal="center" vertical="center" wrapText="1"/>
    </xf>
    <xf numFmtId="1" fontId="4" fillId="3" borderId="22" xfId="0" applyNumberFormat="1" applyFont="1" applyFill="1" applyBorder="1" applyAlignment="1">
      <alignment horizontal="center" vertical="center" wrapText="1"/>
    </xf>
    <xf numFmtId="1" fontId="4" fillId="3" borderId="51" xfId="0" applyNumberFormat="1" applyFont="1" applyFill="1" applyBorder="1" applyAlignment="1">
      <alignment horizontal="left" vertical="center" wrapText="1"/>
    </xf>
    <xf numFmtId="1" fontId="4" fillId="3" borderId="29" xfId="0" applyNumberFormat="1" applyFont="1" applyFill="1" applyBorder="1" applyAlignment="1">
      <alignment horizontal="center" vertical="center" wrapText="1"/>
    </xf>
    <xf numFmtId="1" fontId="4" fillId="3" borderId="62" xfId="0" applyNumberFormat="1" applyFont="1" applyFill="1" applyBorder="1" applyAlignment="1">
      <alignment horizontal="left" vertical="center" wrapText="1"/>
    </xf>
    <xf numFmtId="1" fontId="4" fillId="3" borderId="34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9" xfId="24" applyFont="1" applyBorder="1" applyAlignment="1">
      <alignment horizontal="justify" vertical="top" wrapText="1"/>
    </xf>
    <xf numFmtId="1" fontId="4" fillId="0" borderId="35" xfId="0" applyNumberFormat="1" applyFont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vertical="center" wrapText="1"/>
    </xf>
    <xf numFmtId="1" fontId="4" fillId="0" borderId="50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1" xfId="24" applyFont="1" applyBorder="1" applyAlignment="1">
      <alignment horizontal="justify" vertical="top" wrapText="1"/>
    </xf>
    <xf numFmtId="167" fontId="4" fillId="2" borderId="44" xfId="0" applyNumberFormat="1" applyFont="1" applyFill="1" applyBorder="1" applyAlignment="1">
      <alignment horizontal="center" vertical="center" wrapText="1"/>
    </xf>
    <xf numFmtId="167" fontId="4" fillId="2" borderId="22" xfId="0" applyNumberFormat="1" applyFont="1" applyFill="1" applyBorder="1" applyAlignment="1">
      <alignment horizontal="center" vertical="center" wrapText="1"/>
    </xf>
    <xf numFmtId="167" fontId="4" fillId="2" borderId="29" xfId="0" applyNumberFormat="1" applyFont="1" applyFill="1" applyBorder="1" applyAlignment="1">
      <alignment horizontal="left" vertical="center" wrapText="1"/>
    </xf>
    <xf numFmtId="167" fontId="4" fillId="2" borderId="11" xfId="0" applyNumberFormat="1" applyFont="1" applyFill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4" fillId="0" borderId="44" xfId="0" applyNumberFormat="1" applyFont="1" applyBorder="1" applyAlignment="1">
      <alignment horizontal="center" vertical="center" wrapText="1"/>
    </xf>
    <xf numFmtId="167" fontId="4" fillId="2" borderId="29" xfId="0" applyNumberFormat="1" applyFont="1" applyFill="1" applyBorder="1" applyAlignment="1">
      <alignment horizontal="center" vertical="center" wrapText="1"/>
    </xf>
    <xf numFmtId="167" fontId="4" fillId="2" borderId="18" xfId="0" applyNumberFormat="1" applyFont="1" applyFill="1" applyBorder="1" applyAlignment="1">
      <alignment horizontal="center" vertical="center" wrapText="1"/>
    </xf>
    <xf numFmtId="167" fontId="4" fillId="2" borderId="52" xfId="0" applyNumberFormat="1" applyFont="1" applyFill="1" applyBorder="1" applyAlignment="1">
      <alignment horizontal="center" vertical="center" wrapText="1"/>
    </xf>
    <xf numFmtId="167" fontId="4" fillId="2" borderId="42" xfId="0" applyNumberFormat="1" applyFont="1" applyFill="1" applyBorder="1" applyAlignment="1">
      <alignment horizontal="center" vertical="center" wrapText="1"/>
    </xf>
    <xf numFmtId="165" fontId="4" fillId="2" borderId="22" xfId="0" applyNumberFormat="1" applyFont="1" applyFill="1" applyBorder="1" applyAlignment="1">
      <alignment horizontal="center" vertical="center" wrapText="1"/>
    </xf>
    <xf numFmtId="167" fontId="4" fillId="0" borderId="61" xfId="0" applyNumberFormat="1" applyFont="1" applyBorder="1" applyAlignment="1">
      <alignment horizontal="center" vertical="center" wrapText="1"/>
    </xf>
    <xf numFmtId="167" fontId="4" fillId="2" borderId="59" xfId="0" applyNumberFormat="1" applyFont="1" applyFill="1" applyBorder="1" applyAlignment="1">
      <alignment horizontal="center" vertical="center" wrapText="1"/>
    </xf>
    <xf numFmtId="167" fontId="4" fillId="0" borderId="38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165" fontId="4" fillId="0" borderId="38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0" fontId="4" fillId="0" borderId="24" xfId="26" applyFont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horizontal="center" vertical="center" wrapText="1"/>
    </xf>
    <xf numFmtId="0" fontId="4" fillId="0" borderId="5" xfId="26" applyFont="1" applyBorder="1" applyAlignment="1">
      <alignment horizontal="center" vertical="center" wrapText="1"/>
    </xf>
    <xf numFmtId="1" fontId="4" fillId="3" borderId="39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2" fontId="4" fillId="2" borderId="14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26" applyFont="1" applyBorder="1" applyAlignment="1">
      <alignment horizontal="center" vertical="center" wrapText="1"/>
    </xf>
    <xf numFmtId="165" fontId="4" fillId="0" borderId="44" xfId="0" applyNumberFormat="1" applyFon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center" vertical="center" wrapText="1"/>
    </xf>
    <xf numFmtId="165" fontId="4" fillId="3" borderId="44" xfId="0" applyNumberFormat="1" applyFont="1" applyFill="1" applyBorder="1" applyAlignment="1">
      <alignment horizontal="center" vertical="center" wrapText="1"/>
    </xf>
    <xf numFmtId="165" fontId="4" fillId="3" borderId="62" xfId="0" applyNumberFormat="1" applyFont="1" applyFill="1" applyBorder="1" applyAlignment="1">
      <alignment horizontal="center" vertical="center" wrapText="1"/>
    </xf>
    <xf numFmtId="165" fontId="4" fillId="0" borderId="51" xfId="0" applyNumberFormat="1" applyFont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3" borderId="59" xfId="0" applyNumberFormat="1" applyFont="1" applyFill="1" applyBorder="1" applyAlignment="1">
      <alignment horizontal="center" vertical="center" wrapText="1"/>
    </xf>
    <xf numFmtId="1" fontId="4" fillId="3" borderId="18" xfId="0" applyNumberFormat="1" applyFont="1" applyFill="1" applyBorder="1" applyAlignment="1">
      <alignment horizontal="center" vertical="center" wrapText="1"/>
    </xf>
    <xf numFmtId="166" fontId="4" fillId="0" borderId="5" xfId="19" applyNumberFormat="1" applyFont="1" applyFill="1" applyBorder="1" applyAlignment="1">
      <alignment horizontal="center"/>
    </xf>
    <xf numFmtId="166" fontId="4" fillId="0" borderId="18" xfId="19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left" vertical="center" wrapText="1"/>
    </xf>
    <xf numFmtId="1" fontId="4" fillId="3" borderId="5" xfId="0" applyNumberFormat="1" applyFont="1" applyFill="1" applyBorder="1" applyAlignment="1">
      <alignment horizontal="left" vertical="center" wrapText="1"/>
    </xf>
    <xf numFmtId="0" fontId="10" fillId="0" borderId="0" xfId="30" applyFont="1" applyAlignment="1">
      <alignment horizontal="center"/>
    </xf>
    <xf numFmtId="0" fontId="14" fillId="0" borderId="0" xfId="20" applyFont="1" applyAlignment="1">
      <alignment horizontal="center" wrapText="1"/>
    </xf>
    <xf numFmtId="0" fontId="4" fillId="0" borderId="0" xfId="20" applyFont="1" applyAlignment="1">
      <alignment horizontal="center"/>
    </xf>
    <xf numFmtId="0" fontId="14" fillId="0" borderId="0" xfId="20" applyFont="1" applyAlignment="1">
      <alignment horizontal="center"/>
    </xf>
    <xf numFmtId="0" fontId="5" fillId="0" borderId="34" xfId="20" applyFont="1" applyBorder="1" applyAlignment="1">
      <alignment horizontal="left" vertical="center" wrapText="1"/>
    </xf>
    <xf numFmtId="0" fontId="2" fillId="0" borderId="33" xfId="20" applyFont="1" applyFill="1" applyBorder="1" applyAlignment="1">
      <alignment horizontal="center" vertical="top"/>
    </xf>
    <xf numFmtId="0" fontId="2" fillId="0" borderId="46" xfId="20" applyFont="1" applyFill="1" applyBorder="1" applyAlignment="1">
      <alignment horizontal="center" vertical="top"/>
    </xf>
    <xf numFmtId="0" fontId="2" fillId="0" borderId="30" xfId="20" applyFont="1" applyFill="1" applyBorder="1" applyAlignment="1">
      <alignment horizontal="center" vertical="top"/>
    </xf>
    <xf numFmtId="0" fontId="15" fillId="0" borderId="19" xfId="20" applyFont="1" applyFill="1" applyBorder="1" applyAlignment="1">
      <alignment horizontal="center" vertical="center" wrapText="1"/>
    </xf>
    <xf numFmtId="0" fontId="15" fillId="0" borderId="0" xfId="20" applyFont="1" applyFill="1" applyBorder="1" applyAlignment="1">
      <alignment horizontal="center" vertical="center" wrapText="1"/>
    </xf>
    <xf numFmtId="0" fontId="15" fillId="0" borderId="27" xfId="20" applyFont="1" applyFill="1" applyBorder="1" applyAlignment="1">
      <alignment horizontal="center" vertical="center" wrapText="1"/>
    </xf>
    <xf numFmtId="0" fontId="15" fillId="0" borderId="33" xfId="20" applyFont="1" applyFill="1" applyBorder="1" applyAlignment="1">
      <alignment horizontal="center" vertical="center" wrapText="1"/>
    </xf>
    <xf numFmtId="0" fontId="15" fillId="0" borderId="46" xfId="20" applyFont="1" applyFill="1" applyBorder="1" applyAlignment="1">
      <alignment horizontal="center" vertical="center" wrapText="1"/>
    </xf>
    <xf numFmtId="0" fontId="15" fillId="0" borderId="30" xfId="20" applyFont="1" applyFill="1" applyBorder="1" applyAlignment="1">
      <alignment horizontal="center" vertical="center" wrapText="1"/>
    </xf>
    <xf numFmtId="0" fontId="5" fillId="0" borderId="34" xfId="20" applyFont="1" applyFill="1" applyBorder="1" applyAlignment="1">
      <alignment horizontal="left" vertical="center" wrapText="1"/>
    </xf>
    <xf numFmtId="0" fontId="15" fillId="0" borderId="2" xfId="20" applyFont="1" applyFill="1" applyBorder="1" applyAlignment="1">
      <alignment horizontal="center" vertical="center" wrapText="1"/>
    </xf>
    <xf numFmtId="0" fontId="15" fillId="0" borderId="24" xfId="20" applyFont="1" applyFill="1" applyBorder="1" applyAlignment="1">
      <alignment horizontal="center" vertical="center" wrapText="1"/>
    </xf>
    <xf numFmtId="0" fontId="15" fillId="0" borderId="4" xfId="20" applyFont="1" applyFill="1" applyBorder="1" applyAlignment="1">
      <alignment horizontal="center" vertical="center" wrapText="1"/>
    </xf>
    <xf numFmtId="0" fontId="15" fillId="0" borderId="1" xfId="20" applyFont="1" applyFill="1" applyBorder="1" applyAlignment="1">
      <alignment horizontal="center" vertical="center" wrapText="1"/>
    </xf>
    <xf numFmtId="0" fontId="17" fillId="0" borderId="33" xfId="20" applyFont="1" applyFill="1" applyBorder="1" applyAlignment="1">
      <alignment horizontal="center" vertical="center" wrapText="1"/>
    </xf>
    <xf numFmtId="0" fontId="17" fillId="0" borderId="46" xfId="20" applyFont="1" applyFill="1" applyBorder="1" applyAlignment="1">
      <alignment horizontal="center" vertical="center" wrapText="1"/>
    </xf>
    <xf numFmtId="0" fontId="17" fillId="0" borderId="30" xfId="20" applyFont="1" applyFill="1" applyBorder="1" applyAlignment="1">
      <alignment horizontal="center" vertical="center" wrapText="1"/>
    </xf>
    <xf numFmtId="0" fontId="2" fillId="0" borderId="1" xfId="20" applyFont="1" applyFill="1" applyBorder="1" applyAlignment="1">
      <alignment horizontal="center" vertical="top"/>
    </xf>
    <xf numFmtId="0" fontId="4" fillId="0" borderId="33" xfId="20" applyFont="1" applyFill="1" applyBorder="1" applyAlignment="1">
      <alignment horizontal="center" vertical="center"/>
    </xf>
    <xf numFmtId="0" fontId="4" fillId="0" borderId="46" xfId="20" applyFont="1" applyFill="1" applyBorder="1" applyAlignment="1">
      <alignment horizontal="center" vertical="center"/>
    </xf>
    <xf numFmtId="0" fontId="4" fillId="3" borderId="2" xfId="20" applyFont="1" applyFill="1" applyBorder="1" applyAlignment="1">
      <alignment horizontal="center" vertical="center" wrapText="1"/>
    </xf>
    <xf numFmtId="0" fontId="4" fillId="3" borderId="24" xfId="20" applyFont="1" applyFill="1" applyBorder="1" applyAlignment="1">
      <alignment horizontal="center" vertical="center" wrapText="1"/>
    </xf>
    <xf numFmtId="0" fontId="4" fillId="3" borderId="4" xfId="20" applyFont="1" applyFill="1" applyBorder="1" applyAlignment="1">
      <alignment horizontal="center" vertical="center" wrapText="1"/>
    </xf>
    <xf numFmtId="0" fontId="5" fillId="3" borderId="33" xfId="20" applyFont="1" applyFill="1" applyBorder="1" applyAlignment="1">
      <alignment horizontal="left" vertical="center" wrapText="1"/>
    </xf>
    <xf numFmtId="0" fontId="5" fillId="3" borderId="46" xfId="20" applyFont="1" applyFill="1" applyBorder="1" applyAlignment="1">
      <alignment horizontal="left" vertical="center" wrapText="1"/>
    </xf>
    <xf numFmtId="0" fontId="5" fillId="3" borderId="30" xfId="20" applyFont="1" applyFill="1" applyBorder="1" applyAlignment="1">
      <alignment horizontal="left" vertical="center" wrapText="1"/>
    </xf>
    <xf numFmtId="165" fontId="4" fillId="3" borderId="2" xfId="20" applyNumberFormat="1" applyFont="1" applyFill="1" applyBorder="1" applyAlignment="1">
      <alignment horizontal="left" vertical="center" wrapText="1"/>
    </xf>
    <xf numFmtId="165" fontId="4" fillId="3" borderId="24" xfId="20" applyNumberFormat="1" applyFont="1" applyFill="1" applyBorder="1" applyAlignment="1">
      <alignment horizontal="left" vertical="center" wrapText="1"/>
    </xf>
    <xf numFmtId="165" fontId="4" fillId="3" borderId="4" xfId="20" applyNumberFormat="1" applyFont="1" applyFill="1" applyBorder="1" applyAlignment="1">
      <alignment horizontal="left" vertical="center" wrapText="1"/>
    </xf>
    <xf numFmtId="0" fontId="4" fillId="3" borderId="2" xfId="20" applyFont="1" applyFill="1" applyBorder="1" applyAlignment="1">
      <alignment horizontal="center" vertical="center"/>
    </xf>
    <xf numFmtId="0" fontId="4" fillId="3" borderId="24" xfId="20" applyFont="1" applyFill="1" applyBorder="1" applyAlignment="1">
      <alignment horizontal="center" vertical="center"/>
    </xf>
    <xf numFmtId="0" fontId="4" fillId="3" borderId="4" xfId="20" applyFont="1" applyFill="1" applyBorder="1" applyAlignment="1">
      <alignment horizontal="center" vertical="center"/>
    </xf>
    <xf numFmtId="165" fontId="4" fillId="3" borderId="2" xfId="20" applyNumberFormat="1" applyFont="1" applyFill="1" applyBorder="1" applyAlignment="1">
      <alignment horizontal="center" vertical="center"/>
    </xf>
    <xf numFmtId="165" fontId="4" fillId="3" borderId="24" xfId="20" applyNumberFormat="1" applyFont="1" applyFill="1" applyBorder="1" applyAlignment="1">
      <alignment horizontal="center" vertical="center"/>
    </xf>
    <xf numFmtId="165" fontId="4" fillId="3" borderId="4" xfId="20" applyNumberFormat="1" applyFont="1" applyFill="1" applyBorder="1" applyAlignment="1">
      <alignment horizontal="center" vertical="center"/>
    </xf>
    <xf numFmtId="166" fontId="4" fillId="3" borderId="2" xfId="20" applyNumberFormat="1" applyFont="1" applyFill="1" applyBorder="1" applyAlignment="1">
      <alignment horizontal="center" vertical="center" wrapText="1"/>
    </xf>
    <xf numFmtId="166" fontId="4" fillId="3" borderId="4" xfId="20" applyNumberFormat="1" applyFont="1" applyFill="1" applyBorder="1" applyAlignment="1">
      <alignment horizontal="center" vertical="center" wrapText="1"/>
    </xf>
    <xf numFmtId="165" fontId="4" fillId="3" borderId="2" xfId="20" applyNumberFormat="1" applyFont="1" applyFill="1" applyBorder="1" applyAlignment="1">
      <alignment horizontal="center" vertical="center" wrapText="1"/>
    </xf>
    <xf numFmtId="165" fontId="4" fillId="3" borderId="4" xfId="20" applyNumberFormat="1" applyFont="1" applyFill="1" applyBorder="1" applyAlignment="1">
      <alignment horizontal="center" vertical="center" wrapText="1"/>
    </xf>
    <xf numFmtId="165" fontId="4" fillId="3" borderId="24" xfId="20" applyNumberFormat="1" applyFont="1" applyFill="1" applyBorder="1" applyAlignment="1">
      <alignment horizontal="center" vertical="center" wrapText="1"/>
    </xf>
    <xf numFmtId="0" fontId="10" fillId="0" borderId="0" xfId="19" applyNumberFormat="1" applyFont="1" applyFill="1" applyBorder="1" applyAlignment="1">
      <alignment horizontal="left" vertical="center" wrapText="1"/>
    </xf>
    <xf numFmtId="0" fontId="10" fillId="0" borderId="34" xfId="19" applyNumberFormat="1" applyFont="1" applyFill="1" applyBorder="1" applyAlignment="1">
      <alignment horizontal="left" vertical="center" wrapText="1"/>
    </xf>
    <xf numFmtId="0" fontId="4" fillId="0" borderId="2" xfId="20" applyFont="1" applyFill="1" applyBorder="1" applyAlignment="1">
      <alignment horizontal="center" vertical="center" wrapText="1"/>
    </xf>
    <xf numFmtId="0" fontId="4" fillId="0" borderId="4" xfId="20" applyFont="1" applyFill="1" applyBorder="1" applyAlignment="1">
      <alignment horizontal="center" vertical="center" wrapText="1"/>
    </xf>
    <xf numFmtId="0" fontId="10" fillId="0" borderId="33" xfId="19" applyNumberFormat="1" applyFont="1" applyFill="1" applyBorder="1" applyAlignment="1">
      <alignment horizontal="center" vertical="center" wrapText="1"/>
    </xf>
    <xf numFmtId="0" fontId="10" fillId="0" borderId="46" xfId="19" applyNumberFormat="1" applyFont="1" applyFill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10" fillId="0" borderId="46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</xf>
    <xf numFmtId="0" fontId="4" fillId="0" borderId="56" xfId="20" applyFont="1" applyBorder="1" applyAlignment="1">
      <alignment horizontal="center" vertical="center" wrapText="1"/>
    </xf>
    <xf numFmtId="0" fontId="4" fillId="0" borderId="45" xfId="20" applyFont="1" applyBorder="1" applyAlignment="1">
      <alignment horizontal="center" vertical="center" wrapText="1"/>
    </xf>
    <xf numFmtId="0" fontId="4" fillId="3" borderId="2" xfId="20" applyFont="1" applyFill="1" applyBorder="1" applyAlignment="1">
      <alignment horizontal="left" vertical="center" wrapText="1"/>
    </xf>
    <xf numFmtId="0" fontId="4" fillId="3" borderId="4" xfId="20" applyFont="1" applyFill="1" applyBorder="1" applyAlignment="1">
      <alignment horizontal="left" vertical="center" wrapText="1"/>
    </xf>
    <xf numFmtId="0" fontId="4" fillId="3" borderId="56" xfId="20" applyFont="1" applyFill="1" applyBorder="1" applyAlignment="1">
      <alignment horizontal="center" vertical="center" wrapText="1"/>
    </xf>
    <xf numFmtId="0" fontId="4" fillId="3" borderId="45" xfId="20" applyFont="1" applyFill="1" applyBorder="1" applyAlignment="1">
      <alignment horizontal="center" vertical="center" wrapText="1"/>
    </xf>
    <xf numFmtId="0" fontId="4" fillId="3" borderId="57" xfId="20" applyFont="1" applyFill="1" applyBorder="1" applyAlignment="1">
      <alignment horizontal="left" wrapText="1"/>
    </xf>
    <xf numFmtId="0" fontId="5" fillId="3" borderId="33" xfId="0" applyNumberFormat="1" applyFont="1" applyFill="1" applyBorder="1" applyAlignment="1">
      <alignment horizontal="center" vertical="center" wrapText="1"/>
    </xf>
    <xf numFmtId="0" fontId="5" fillId="3" borderId="46" xfId="0" applyNumberFormat="1" applyFont="1" applyFill="1" applyBorder="1" applyAlignment="1">
      <alignment horizontal="center" vertical="center" wrapText="1"/>
    </xf>
    <xf numFmtId="0" fontId="5" fillId="3" borderId="34" xfId="19" applyNumberFormat="1" applyFont="1" applyFill="1" applyBorder="1" applyAlignment="1">
      <alignment horizontal="left" vertical="center" wrapText="1"/>
    </xf>
    <xf numFmtId="0" fontId="5" fillId="3" borderId="45" xfId="19" applyNumberFormat="1" applyFont="1" applyFill="1" applyBorder="1" applyAlignment="1">
      <alignment horizontal="left" vertical="center" wrapText="1"/>
    </xf>
    <xf numFmtId="0" fontId="4" fillId="3" borderId="1" xfId="20" applyFont="1" applyFill="1" applyBorder="1" applyAlignment="1">
      <alignment horizontal="center" vertical="center" wrapText="1"/>
    </xf>
    <xf numFmtId="0" fontId="4" fillId="0" borderId="57" xfId="20" applyFont="1" applyBorder="1" applyAlignment="1">
      <alignment horizontal="left" wrapText="1"/>
    </xf>
    <xf numFmtId="0" fontId="4" fillId="3" borderId="33" xfId="20" applyFont="1" applyFill="1" applyBorder="1" applyAlignment="1">
      <alignment horizontal="left"/>
    </xf>
    <xf numFmtId="0" fontId="4" fillId="3" borderId="46" xfId="20" applyFont="1" applyFill="1" applyBorder="1" applyAlignment="1">
      <alignment horizontal="left"/>
    </xf>
    <xf numFmtId="0" fontId="5" fillId="3" borderId="30" xfId="0" applyNumberFormat="1" applyFont="1" applyFill="1" applyBorder="1" applyAlignment="1">
      <alignment horizontal="center" vertical="center" wrapText="1"/>
    </xf>
    <xf numFmtId="0" fontId="4" fillId="3" borderId="2" xfId="24" applyFont="1" applyFill="1" applyBorder="1" applyAlignment="1">
      <alignment horizontal="left" vertical="center" wrapText="1"/>
    </xf>
    <xf numFmtId="0" fontId="4" fillId="3" borderId="24" xfId="24" applyFont="1" applyFill="1" applyBorder="1" applyAlignment="1">
      <alignment horizontal="left" vertical="center" wrapText="1"/>
    </xf>
    <xf numFmtId="0" fontId="4" fillId="3" borderId="4" xfId="24" applyFont="1" applyFill="1" applyBorder="1" applyAlignment="1">
      <alignment horizontal="left" vertical="center" wrapText="1"/>
    </xf>
    <xf numFmtId="0" fontId="4" fillId="3" borderId="33" xfId="20" applyFont="1" applyFill="1" applyBorder="1" applyAlignment="1">
      <alignment horizontal="left" vertical="center" wrapText="1"/>
    </xf>
    <xf numFmtId="0" fontId="4" fillId="3" borderId="46" xfId="20" applyFont="1" applyFill="1" applyBorder="1" applyAlignment="1">
      <alignment horizontal="left" vertical="center" wrapText="1"/>
    </xf>
    <xf numFmtId="0" fontId="4" fillId="3" borderId="30" xfId="20" applyFont="1" applyFill="1" applyBorder="1" applyAlignment="1">
      <alignment horizontal="left" vertical="center" wrapText="1"/>
    </xf>
    <xf numFmtId="0" fontId="5" fillId="3" borderId="0" xfId="20" applyFont="1" applyFill="1" applyBorder="1" applyAlignment="1">
      <alignment horizontal="left" wrapText="1"/>
    </xf>
    <xf numFmtId="166" fontId="4" fillId="3" borderId="24" xfId="20" applyNumberFormat="1" applyFont="1" applyFill="1" applyBorder="1" applyAlignment="1">
      <alignment horizontal="center" vertical="center" wrapText="1"/>
    </xf>
    <xf numFmtId="0" fontId="5" fillId="3" borderId="1" xfId="20" applyFont="1" applyFill="1" applyBorder="1" applyAlignment="1">
      <alignment horizontal="left" vertical="center" wrapText="1"/>
    </xf>
    <xf numFmtId="0" fontId="4" fillId="3" borderId="24" xfId="20" applyFont="1" applyFill="1" applyBorder="1" applyAlignment="1">
      <alignment horizontal="left" vertical="center" wrapText="1"/>
    </xf>
    <xf numFmtId="0" fontId="4" fillId="0" borderId="2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4" fillId="0" borderId="33" xfId="20" applyFont="1" applyBorder="1" applyAlignment="1">
      <alignment horizontal="center" vertical="center" wrapText="1"/>
    </xf>
    <xf numFmtId="0" fontId="4" fillId="0" borderId="46" xfId="20" applyFont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19" applyFont="1" applyFill="1" applyBorder="1" applyAlignment="1">
      <alignment horizontal="left" wrapText="1"/>
    </xf>
    <xf numFmtId="0" fontId="4" fillId="0" borderId="24" xfId="20" applyFont="1" applyFill="1" applyBorder="1" applyAlignment="1">
      <alignment horizontal="center" vertical="center" wrapText="1"/>
    </xf>
    <xf numFmtId="0" fontId="4" fillId="0" borderId="56" xfId="20" applyFont="1" applyFill="1" applyBorder="1" applyAlignment="1">
      <alignment horizontal="center" vertical="center" wrapText="1"/>
    </xf>
    <xf numFmtId="0" fontId="4" fillId="0" borderId="45" xfId="20" applyFont="1" applyFill="1" applyBorder="1" applyAlignment="1">
      <alignment horizontal="center" vertical="center" wrapText="1"/>
    </xf>
    <xf numFmtId="0" fontId="4" fillId="0" borderId="33" xfId="20" applyFont="1" applyFill="1" applyBorder="1" applyAlignment="1">
      <alignment horizontal="center" vertical="center" wrapText="1"/>
    </xf>
    <xf numFmtId="0" fontId="4" fillId="0" borderId="46" xfId="20" applyFont="1" applyFill="1" applyBorder="1" applyAlignment="1">
      <alignment horizontal="center" vertical="center" wrapText="1"/>
    </xf>
    <xf numFmtId="0" fontId="4" fillId="0" borderId="30" xfId="2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16" fillId="0" borderId="33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 shrinkToFit="1"/>
    </xf>
    <xf numFmtId="0" fontId="2" fillId="3" borderId="4" xfId="0" applyFont="1" applyFill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16" fillId="0" borderId="4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4" fillId="3" borderId="55" xfId="0" applyNumberFormat="1" applyFont="1" applyFill="1" applyBorder="1" applyAlignment="1">
      <alignment horizontal="left" vertical="center" wrapText="1"/>
    </xf>
    <xf numFmtId="165" fontId="4" fillId="3" borderId="40" xfId="0" applyNumberFormat="1" applyFont="1" applyFill="1" applyBorder="1" applyAlignment="1">
      <alignment horizontal="left" vertical="center" wrapText="1"/>
    </xf>
    <xf numFmtId="165" fontId="4" fillId="2" borderId="55" xfId="0" applyNumberFormat="1" applyFont="1" applyFill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1" fontId="4" fillId="3" borderId="37" xfId="0" applyNumberFormat="1" applyFont="1" applyFill="1" applyBorder="1" applyAlignment="1">
      <alignment horizontal="center" vertical="center" wrapText="1"/>
    </xf>
    <xf numFmtId="1" fontId="4" fillId="3" borderId="39" xfId="0" applyNumberFormat="1" applyFont="1" applyFill="1" applyBorder="1" applyAlignment="1">
      <alignment horizontal="center" vertical="center" wrapText="1"/>
    </xf>
    <xf numFmtId="165" fontId="4" fillId="3" borderId="37" xfId="0" applyNumberFormat="1" applyFont="1" applyFill="1" applyBorder="1" applyAlignment="1">
      <alignment horizontal="center" vertical="center" wrapText="1"/>
    </xf>
    <xf numFmtId="165" fontId="4" fillId="3" borderId="39" xfId="0" applyNumberFormat="1" applyFont="1" applyFill="1" applyBorder="1" applyAlignment="1">
      <alignment horizontal="center" vertical="center" wrapText="1"/>
    </xf>
    <xf numFmtId="165" fontId="4" fillId="3" borderId="24" xfId="0" applyNumberFormat="1" applyFont="1" applyFill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 vertical="center" wrapText="1"/>
    </xf>
  </cellXfs>
  <cellStyles count="45">
    <cellStyle name="_прил 23-27 ЧЭ ХВС" xfId="1"/>
    <cellStyle name="AFE" xfId="2"/>
    <cellStyle name="Alilciue [0]_AAA" xfId="3"/>
    <cellStyle name="Alilciue_AAA" xfId="4"/>
    <cellStyle name="Äĺíĺćíűé_AN" xfId="5"/>
    <cellStyle name="Alilciue_IKGPR" xfId="6"/>
    <cellStyle name="Äĺíĺćíűé_KOTELPR" xfId="7"/>
    <cellStyle name="Alilciue_RAZRAD" xfId="8"/>
    <cellStyle name="Äĺíĺćíűé_REG" xfId="9"/>
    <cellStyle name="Iau?iue_AAA" xfId="10"/>
    <cellStyle name="Îáű÷íűé_1 číä óä10" xfId="11"/>
    <cellStyle name="Nun??c [0]_AAA" xfId="12"/>
    <cellStyle name="Nun??c_AAA" xfId="13"/>
    <cellStyle name="Ňűń˙÷č [0]_1 číä óä10" xfId="14"/>
    <cellStyle name="Ňűń˙÷č_1 číä óä10" xfId="15"/>
    <cellStyle name="Ôčíŕíńîâűé [0]_ATPCD30" xfId="16"/>
    <cellStyle name="Ôčíŕíńîâűé_ATPCD30" xfId="17"/>
    <cellStyle name="Денежный [0Э_11DXATP" xfId="18"/>
    <cellStyle name="Обычный" xfId="0" builtinId="0"/>
    <cellStyle name="Обычный 2" xfId="19"/>
    <cellStyle name="Обычный 2 2" xfId="40"/>
    <cellStyle name="Обычный 2_ООО Тепловая компания (печора)" xfId="20"/>
    <cellStyle name="Обычный 3" xfId="21"/>
    <cellStyle name="Обычный 4" xfId="22"/>
    <cellStyle name="Обычный 5" xfId="23"/>
    <cellStyle name="Обычный 5 2" xfId="24"/>
    <cellStyle name="Обычный 5 2 2" xfId="42"/>
    <cellStyle name="Обычный 5 3" xfId="25"/>
    <cellStyle name="Обычный 5_ХВС БЖКХ ПП 2016 фактВ" xfId="26"/>
    <cellStyle name="Обычный 6" xfId="27"/>
    <cellStyle name="Обычный 7" xfId="28"/>
    <cellStyle name="Обычный 8" xfId="29"/>
    <cellStyle name="Обычный_PP_PitWater" xfId="30"/>
    <cellStyle name="Процентный 2" xfId="31"/>
    <cellStyle name="Процентный 2 2" xfId="44"/>
    <cellStyle name="Процентный 3" xfId="32"/>
    <cellStyle name="Процентный 4" xfId="33"/>
    <cellStyle name="Процентный 5" xfId="34"/>
    <cellStyle name="Процентный 6" xfId="35"/>
    <cellStyle name="Стиль 1" xfId="36"/>
    <cellStyle name="Тысячи [0]_1 инд уд10" xfId="37"/>
    <cellStyle name="Тысячи_1 инд уд10" xfId="38"/>
    <cellStyle name="Финансовый 2" xfId="39"/>
    <cellStyle name="Финансовый 2 2" xfId="41"/>
    <cellStyle name="Финансовый 3" xfId="4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&#1055;&#1069;&#1054;\&#1055;&#1058;&#1054;\&#1041;&#1046;&#1050;&#1061;%20&#1055;&#1055;_&#1042;&#1057;%20&#1080;%20&#1042;&#1054;%202022%20&#1092;&#1072;&#1082;&#1090;%20(&#1055;&#1058;&#1054;)\&#1061;&#1042;&#1057;%20&#1055;&#1055;%20&#1041;&#1046;&#1050;&#1061;%202022%20&#1092;&#1072;&#1082;&#1090;%20&#1055;&#1058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"/>
      <sheetName val="раздел 4"/>
      <sheetName val="раздел 5"/>
      <sheetName val="Билиб"/>
      <sheetName val=" Анюй"/>
      <sheetName val="Илир"/>
      <sheetName val="Кепер"/>
      <sheetName val="Омол"/>
      <sheetName val="Остров"/>
    </sheetNames>
    <sheetDataSet>
      <sheetData sheetId="0"/>
      <sheetData sheetId="1">
        <row r="8">
          <cell r="CU8">
            <v>18201.312000000002</v>
          </cell>
          <cell r="DO8">
            <v>25023.697999999997</v>
          </cell>
        </row>
        <row r="14">
          <cell r="CU14">
            <v>261.36</v>
          </cell>
          <cell r="DO14">
            <v>595.16399999999999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6"/>
  <sheetViews>
    <sheetView zoomScaleNormal="100" workbookViewId="0">
      <selection activeCell="B7" sqref="B7"/>
    </sheetView>
  </sheetViews>
  <sheetFormatPr defaultRowHeight="15.75" x14ac:dyDescent="0.25"/>
  <cols>
    <col min="1" max="1" width="45.140625" style="5" customWidth="1"/>
    <col min="2" max="2" width="67.140625" style="5" customWidth="1"/>
    <col min="3" max="3" width="7" style="5" customWidth="1"/>
    <col min="4" max="4" width="6.7109375" style="5" customWidth="1"/>
    <col min="5" max="16384" width="9.140625" style="5"/>
  </cols>
  <sheetData>
    <row r="1" spans="1:2" s="6" customFormat="1" ht="18.75" x14ac:dyDescent="0.3">
      <c r="A1" s="502" t="s">
        <v>87</v>
      </c>
      <c r="B1" s="502"/>
    </row>
    <row r="2" spans="1:2" s="6" customFormat="1" ht="18.75" customHeight="1" x14ac:dyDescent="0.3">
      <c r="A2" s="503" t="s">
        <v>287</v>
      </c>
      <c r="B2" s="503"/>
    </row>
    <row r="3" spans="1:2" s="6" customFormat="1" ht="19.5" customHeight="1" x14ac:dyDescent="0.3">
      <c r="A3" s="504"/>
      <c r="B3" s="505"/>
    </row>
    <row r="4" spans="1:2" s="6" customFormat="1" ht="18.75" customHeight="1" x14ac:dyDescent="0.3">
      <c r="A4" s="506" t="s">
        <v>78</v>
      </c>
      <c r="B4" s="506"/>
    </row>
    <row r="5" spans="1:2" ht="27" customHeight="1" x14ac:dyDescent="0.25">
      <c r="A5" s="7" t="s">
        <v>82</v>
      </c>
      <c r="B5" s="13" t="s">
        <v>79</v>
      </c>
    </row>
    <row r="6" spans="1:2" ht="36" customHeight="1" x14ac:dyDescent="0.25">
      <c r="A6" s="7" t="s">
        <v>83</v>
      </c>
      <c r="B6" s="3" t="s">
        <v>81</v>
      </c>
    </row>
    <row r="7" spans="1:2" ht="38.25" customHeight="1" x14ac:dyDescent="0.25">
      <c r="A7" s="7" t="s">
        <v>84</v>
      </c>
      <c r="B7" s="3" t="s">
        <v>80</v>
      </c>
    </row>
    <row r="8" spans="1:2" ht="27.75" customHeight="1" x14ac:dyDescent="0.25">
      <c r="A8" s="7" t="s">
        <v>85</v>
      </c>
      <c r="B8" s="13" t="s">
        <v>86</v>
      </c>
    </row>
    <row r="9" spans="1:2" s="10" customFormat="1" ht="21.75" customHeight="1" x14ac:dyDescent="0.25">
      <c r="A9" s="8"/>
      <c r="B9" s="9"/>
    </row>
    <row r="10" spans="1:2" ht="16.5" customHeight="1" x14ac:dyDescent="0.25"/>
    <row r="11" spans="1:2" x14ac:dyDescent="0.25">
      <c r="A11" s="298" t="s">
        <v>243</v>
      </c>
      <c r="B11" s="299" t="s">
        <v>256</v>
      </c>
    </row>
    <row r="12" spans="1:2" x14ac:dyDescent="0.25">
      <c r="A12" s="18" t="s">
        <v>143</v>
      </c>
      <c r="B12" s="18" t="s">
        <v>144</v>
      </c>
    </row>
    <row r="19" spans="1:3" x14ac:dyDescent="0.25">
      <c r="C19" s="11"/>
    </row>
    <row r="21" spans="1:3" x14ac:dyDescent="0.25">
      <c r="C21" s="12"/>
    </row>
    <row r="24" spans="1:3" s="10" customFormat="1" x14ac:dyDescent="0.25">
      <c r="A24" s="5"/>
      <c r="B24" s="5"/>
      <c r="C24" s="5"/>
    </row>
    <row r="25" spans="1:3" ht="15" customHeight="1" x14ac:dyDescent="0.25"/>
    <row r="26" spans="1:3" ht="31.5" customHeight="1" x14ac:dyDescent="0.25"/>
  </sheetData>
  <mergeCells count="4">
    <mergeCell ref="A1:B1"/>
    <mergeCell ref="A2:B2"/>
    <mergeCell ref="A3:B3"/>
    <mergeCell ref="A4:B4"/>
  </mergeCells>
  <phoneticPr fontId="3" type="noConversion"/>
  <printOptions horizontalCentered="1"/>
  <pageMargins left="1.1811023622047245" right="0.39370078740157483" top="0.78740157480314965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DT65"/>
  <sheetViews>
    <sheetView zoomScale="80" zoomScaleNormal="80" workbookViewId="0">
      <pane xSplit="3" ySplit="7" topLeftCell="P8" activePane="bottomRight" state="frozen"/>
      <selection activeCell="B58" sqref="B58"/>
      <selection pane="topRight" activeCell="B58" sqref="B58"/>
      <selection pane="bottomLeft" activeCell="B58" sqref="B58"/>
      <selection pane="bottomRight" activeCell="S11" sqref="S11"/>
    </sheetView>
  </sheetViews>
  <sheetFormatPr defaultRowHeight="12.75" x14ac:dyDescent="0.2"/>
  <cols>
    <col min="1" max="1" width="6.7109375" style="112" customWidth="1"/>
    <col min="2" max="2" width="41" style="112" customWidth="1"/>
    <col min="3" max="3" width="12.140625" style="112" customWidth="1"/>
    <col min="4" max="4" width="12.85546875" style="112" hidden="1" customWidth="1"/>
    <col min="5" max="6" width="15" style="142" hidden="1" customWidth="1"/>
    <col min="7" max="7" width="14.140625" style="142" hidden="1" customWidth="1"/>
    <col min="8" max="10" width="12.28515625" style="112" hidden="1" customWidth="1"/>
    <col min="11" max="15" width="14.42578125" style="112" hidden="1" customWidth="1"/>
    <col min="16" max="16" width="13.28515625" style="112" customWidth="1"/>
    <col min="17" max="19" width="13.28515625" style="320" customWidth="1"/>
    <col min="20" max="23" width="12.28515625" style="112" hidden="1" customWidth="1"/>
    <col min="24" max="24" width="11.7109375" style="112" hidden="1" customWidth="1"/>
    <col min="25" max="26" width="14" style="142" hidden="1" customWidth="1"/>
    <col min="27" max="27" width="12.28515625" style="142" hidden="1" customWidth="1"/>
    <col min="28" max="28" width="11.7109375" style="112" hidden="1" customWidth="1"/>
    <col min="29" max="35" width="12.28515625" style="112" hidden="1" customWidth="1"/>
    <col min="36" max="36" width="12.28515625" style="112" customWidth="1"/>
    <col min="37" max="39" width="12.28515625" style="320" customWidth="1"/>
    <col min="40" max="44" width="11.7109375" style="112" hidden="1" customWidth="1"/>
    <col min="45" max="46" width="14.5703125" style="112" hidden="1" customWidth="1"/>
    <col min="47" max="47" width="12.28515625" style="112" hidden="1" customWidth="1"/>
    <col min="48" max="48" width="11.7109375" style="112" hidden="1" customWidth="1"/>
    <col min="49" max="55" width="12.28515625" style="112" hidden="1" customWidth="1"/>
    <col min="56" max="56" width="12.28515625" style="112" customWidth="1"/>
    <col min="57" max="59" width="12.28515625" style="320" customWidth="1"/>
    <col min="60" max="64" width="11.7109375" style="112" hidden="1" customWidth="1"/>
    <col min="65" max="66" width="14" style="142" hidden="1" customWidth="1"/>
    <col min="67" max="67" width="12.28515625" style="142" hidden="1" customWidth="1"/>
    <col min="68" max="68" width="11.7109375" style="112" hidden="1" customWidth="1"/>
    <col min="69" max="75" width="12.28515625" style="112" hidden="1" customWidth="1"/>
    <col min="76" max="76" width="12.28515625" style="112" customWidth="1"/>
    <col min="77" max="79" width="12.28515625" style="320" customWidth="1"/>
    <col min="80" max="84" width="11.7109375" style="112" hidden="1" customWidth="1"/>
    <col min="85" max="86" width="13.7109375" style="142" hidden="1" customWidth="1"/>
    <col min="87" max="87" width="12.28515625" style="142" hidden="1" customWidth="1"/>
    <col min="88" max="88" width="11.7109375" style="112" hidden="1" customWidth="1"/>
    <col min="89" max="95" width="12.28515625" style="112" hidden="1" customWidth="1"/>
    <col min="96" max="96" width="12.28515625" style="112" customWidth="1"/>
    <col min="97" max="99" width="12.28515625" style="320" customWidth="1"/>
    <col min="100" max="104" width="11.7109375" style="112" hidden="1" customWidth="1"/>
    <col min="105" max="106" width="13.7109375" style="142" hidden="1" customWidth="1"/>
    <col min="107" max="107" width="12.28515625" style="142" hidden="1" customWidth="1"/>
    <col min="108" max="108" width="11.7109375" style="112" hidden="1" customWidth="1"/>
    <col min="109" max="115" width="12.28515625" style="112" hidden="1" customWidth="1"/>
    <col min="116" max="116" width="12.28515625" style="112" customWidth="1"/>
    <col min="117" max="119" width="12.28515625" style="320" customWidth="1"/>
    <col min="120" max="123" width="11.7109375" style="112" hidden="1" customWidth="1"/>
    <col min="124" max="124" width="9.140625" style="112" customWidth="1"/>
    <col min="125" max="16384" width="9.140625" style="112"/>
  </cols>
  <sheetData>
    <row r="1" spans="1:124" s="21" customFormat="1" ht="23.25" customHeight="1" x14ac:dyDescent="0.3">
      <c r="A1" s="516" t="s">
        <v>138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147"/>
      <c r="AA1" s="147"/>
      <c r="AB1" s="19"/>
      <c r="AC1" s="19"/>
      <c r="AD1" s="19"/>
      <c r="AE1" s="19"/>
      <c r="AF1" s="19"/>
      <c r="AG1" s="19"/>
      <c r="AH1" s="19"/>
      <c r="AI1" s="19"/>
      <c r="AJ1" s="19"/>
      <c r="AK1" s="321"/>
      <c r="AL1" s="321"/>
      <c r="AM1" s="321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321"/>
      <c r="BF1" s="321"/>
      <c r="BG1" s="321"/>
      <c r="BH1" s="19"/>
      <c r="BI1" s="19"/>
      <c r="BJ1" s="19"/>
      <c r="BK1" s="19"/>
      <c r="BL1" s="19"/>
      <c r="BM1" s="147"/>
      <c r="BN1" s="147"/>
      <c r="BO1" s="147"/>
      <c r="BP1" s="19"/>
      <c r="BQ1" s="19"/>
      <c r="BR1" s="19"/>
      <c r="BS1" s="19"/>
      <c r="BT1" s="19"/>
      <c r="BU1" s="19"/>
      <c r="BV1" s="19"/>
      <c r="BW1" s="19"/>
      <c r="BX1" s="19"/>
      <c r="BY1" s="321"/>
      <c r="BZ1" s="321"/>
      <c r="CA1" s="321"/>
      <c r="CB1" s="19"/>
      <c r="CC1" s="19"/>
      <c r="CD1" s="19"/>
      <c r="CE1" s="19"/>
      <c r="CF1" s="19"/>
      <c r="CG1" s="147"/>
      <c r="CH1" s="147"/>
      <c r="CI1" s="147"/>
      <c r="CJ1" s="19"/>
      <c r="CK1" s="19"/>
      <c r="CL1" s="19"/>
      <c r="CM1" s="19"/>
      <c r="CN1" s="19"/>
      <c r="CO1" s="19"/>
      <c r="CP1" s="19"/>
      <c r="CQ1" s="19"/>
      <c r="CR1" s="19"/>
      <c r="CS1" s="321"/>
      <c r="CT1" s="321"/>
      <c r="CU1" s="321"/>
      <c r="CV1" s="19"/>
      <c r="CW1" s="19"/>
      <c r="CX1" s="19"/>
      <c r="CY1" s="19"/>
      <c r="CZ1" s="20"/>
      <c r="DA1" s="148"/>
      <c r="DB1" s="148"/>
      <c r="DC1" s="148"/>
      <c r="DD1" s="20"/>
      <c r="DE1" s="20"/>
      <c r="DF1" s="20"/>
      <c r="DG1" s="20"/>
      <c r="DH1" s="20"/>
      <c r="DI1" s="20"/>
      <c r="DJ1" s="20"/>
      <c r="DK1" s="20"/>
      <c r="DL1" s="20"/>
      <c r="DM1" s="322"/>
      <c r="DN1" s="322"/>
      <c r="DO1" s="322"/>
      <c r="DP1" s="20"/>
    </row>
    <row r="2" spans="1:124" s="21" customFormat="1" ht="19.5" customHeight="1" x14ac:dyDescent="0.3">
      <c r="A2" s="517" t="s">
        <v>88</v>
      </c>
      <c r="B2" s="520" t="s">
        <v>89</v>
      </c>
      <c r="C2" s="520" t="s">
        <v>26</v>
      </c>
      <c r="D2" s="525" t="s">
        <v>136</v>
      </c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  <c r="AO2" s="526"/>
      <c r="AP2" s="526"/>
      <c r="AQ2" s="526"/>
      <c r="AR2" s="526"/>
      <c r="AS2" s="526"/>
      <c r="AT2" s="526"/>
      <c r="AU2" s="526"/>
      <c r="AV2" s="526"/>
      <c r="AW2" s="526"/>
      <c r="AX2" s="526"/>
      <c r="AY2" s="526"/>
      <c r="AZ2" s="526"/>
      <c r="BA2" s="526"/>
      <c r="BB2" s="526"/>
      <c r="BC2" s="526"/>
      <c r="BD2" s="526"/>
      <c r="BE2" s="526"/>
      <c r="BF2" s="526"/>
      <c r="BG2" s="526"/>
      <c r="BH2" s="526"/>
      <c r="BI2" s="526"/>
      <c r="BJ2" s="526"/>
      <c r="BK2" s="526"/>
      <c r="BL2" s="526"/>
      <c r="BM2" s="526"/>
      <c r="BN2" s="526"/>
      <c r="BO2" s="526"/>
      <c r="BP2" s="526"/>
      <c r="BQ2" s="526"/>
      <c r="BR2" s="526"/>
      <c r="BS2" s="526"/>
      <c r="BT2" s="526"/>
      <c r="BU2" s="526"/>
      <c r="BV2" s="526"/>
      <c r="BW2" s="526"/>
      <c r="BX2" s="526"/>
      <c r="BY2" s="526"/>
      <c r="BZ2" s="526"/>
      <c r="CA2" s="526"/>
      <c r="CB2" s="526"/>
      <c r="CC2" s="526"/>
      <c r="CD2" s="526"/>
      <c r="CE2" s="526"/>
      <c r="CF2" s="526"/>
      <c r="CG2" s="526"/>
      <c r="CH2" s="526"/>
      <c r="CI2" s="526"/>
      <c r="CJ2" s="526"/>
      <c r="CK2" s="526"/>
      <c r="CL2" s="526"/>
      <c r="CM2" s="526"/>
      <c r="CN2" s="526"/>
      <c r="CO2" s="526"/>
      <c r="CP2" s="526"/>
      <c r="CQ2" s="526"/>
      <c r="CR2" s="526"/>
      <c r="CS2" s="526"/>
      <c r="CT2" s="526"/>
      <c r="CU2" s="526"/>
      <c r="CV2" s="526"/>
      <c r="CW2" s="526"/>
      <c r="CX2" s="526"/>
      <c r="CY2" s="526"/>
      <c r="CZ2" s="526"/>
      <c r="DA2" s="526"/>
      <c r="DB2" s="526"/>
      <c r="DC2" s="526"/>
      <c r="DD2" s="526"/>
      <c r="DE2" s="526"/>
      <c r="DF2" s="526"/>
      <c r="DG2" s="526"/>
      <c r="DH2" s="117"/>
      <c r="DI2" s="117"/>
      <c r="DJ2" s="117"/>
      <c r="DK2" s="117"/>
      <c r="DL2" s="117"/>
      <c r="DM2" s="323"/>
      <c r="DN2" s="323"/>
      <c r="DO2" s="323"/>
      <c r="DP2" s="117"/>
      <c r="DQ2" s="117"/>
      <c r="DR2" s="117"/>
      <c r="DS2" s="118"/>
      <c r="DT2" s="119"/>
    </row>
    <row r="3" spans="1:124" s="22" customFormat="1" ht="15" customHeight="1" x14ac:dyDescent="0.2">
      <c r="A3" s="518"/>
      <c r="B3" s="520"/>
      <c r="C3" s="520"/>
      <c r="D3" s="521" t="s">
        <v>130</v>
      </c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3"/>
      <c r="X3" s="521" t="s">
        <v>131</v>
      </c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3"/>
      <c r="AR3" s="521" t="s">
        <v>132</v>
      </c>
      <c r="AS3" s="522"/>
      <c r="AT3" s="522"/>
      <c r="AU3" s="522"/>
      <c r="AV3" s="522"/>
      <c r="AW3" s="522"/>
      <c r="AX3" s="522"/>
      <c r="AY3" s="522"/>
      <c r="AZ3" s="522"/>
      <c r="BA3" s="522"/>
      <c r="BB3" s="522"/>
      <c r="BC3" s="522"/>
      <c r="BD3" s="522"/>
      <c r="BE3" s="522"/>
      <c r="BF3" s="522"/>
      <c r="BG3" s="522"/>
      <c r="BH3" s="522"/>
      <c r="BI3" s="522"/>
      <c r="BJ3" s="522"/>
      <c r="BK3" s="523"/>
      <c r="BL3" s="521" t="s">
        <v>133</v>
      </c>
      <c r="BM3" s="522"/>
      <c r="BN3" s="522"/>
      <c r="BO3" s="522"/>
      <c r="BP3" s="522"/>
      <c r="BQ3" s="522"/>
      <c r="BR3" s="522"/>
      <c r="BS3" s="522"/>
      <c r="BT3" s="522"/>
      <c r="BU3" s="522"/>
      <c r="BV3" s="522"/>
      <c r="BW3" s="522"/>
      <c r="BX3" s="522"/>
      <c r="BY3" s="522"/>
      <c r="BZ3" s="522"/>
      <c r="CA3" s="522"/>
      <c r="CB3" s="522"/>
      <c r="CC3" s="522"/>
      <c r="CD3" s="522"/>
      <c r="CE3" s="523"/>
      <c r="CF3" s="521" t="s">
        <v>134</v>
      </c>
      <c r="CG3" s="522"/>
      <c r="CH3" s="522"/>
      <c r="CI3" s="522"/>
      <c r="CJ3" s="522"/>
      <c r="CK3" s="522"/>
      <c r="CL3" s="522"/>
      <c r="CM3" s="522"/>
      <c r="CN3" s="522"/>
      <c r="CO3" s="522"/>
      <c r="CP3" s="522"/>
      <c r="CQ3" s="522"/>
      <c r="CR3" s="522"/>
      <c r="CS3" s="522"/>
      <c r="CT3" s="522"/>
      <c r="CU3" s="522"/>
      <c r="CV3" s="522"/>
      <c r="CW3" s="522"/>
      <c r="CX3" s="522"/>
      <c r="CY3" s="523"/>
      <c r="CZ3" s="521" t="s">
        <v>135</v>
      </c>
      <c r="DA3" s="522"/>
      <c r="DB3" s="522"/>
      <c r="DC3" s="522"/>
      <c r="DD3" s="522"/>
      <c r="DE3" s="522"/>
      <c r="DF3" s="522"/>
      <c r="DG3" s="522"/>
      <c r="DH3" s="522"/>
      <c r="DI3" s="522"/>
      <c r="DJ3" s="522"/>
      <c r="DK3" s="522"/>
      <c r="DL3" s="522"/>
      <c r="DM3" s="522"/>
      <c r="DN3" s="522"/>
      <c r="DO3" s="522"/>
      <c r="DP3" s="522"/>
      <c r="DQ3" s="522"/>
      <c r="DR3" s="522"/>
      <c r="DS3" s="523"/>
      <c r="DT3" s="120"/>
    </row>
    <row r="4" spans="1:124" s="22" customFormat="1" ht="15" customHeight="1" x14ac:dyDescent="0.2">
      <c r="A4" s="518"/>
      <c r="B4" s="520"/>
      <c r="C4" s="520"/>
      <c r="D4" s="510" t="s">
        <v>145</v>
      </c>
      <c r="E4" s="511"/>
      <c r="F4" s="511"/>
      <c r="G4" s="512"/>
      <c r="H4" s="507" t="s">
        <v>146</v>
      </c>
      <c r="I4" s="508"/>
      <c r="J4" s="508"/>
      <c r="K4" s="509"/>
      <c r="L4" s="507" t="s">
        <v>147</v>
      </c>
      <c r="M4" s="508"/>
      <c r="N4" s="508"/>
      <c r="O4" s="509"/>
      <c r="P4" s="507" t="s">
        <v>148</v>
      </c>
      <c r="Q4" s="508"/>
      <c r="R4" s="508"/>
      <c r="S4" s="509"/>
      <c r="T4" s="507" t="s">
        <v>149</v>
      </c>
      <c r="U4" s="508"/>
      <c r="V4" s="508"/>
      <c r="W4" s="509"/>
      <c r="X4" s="510" t="s">
        <v>145</v>
      </c>
      <c r="Y4" s="511"/>
      <c r="Z4" s="511"/>
      <c r="AA4" s="512"/>
      <c r="AB4" s="507" t="s">
        <v>146</v>
      </c>
      <c r="AC4" s="508"/>
      <c r="AD4" s="508"/>
      <c r="AE4" s="509"/>
      <c r="AF4" s="507" t="s">
        <v>147</v>
      </c>
      <c r="AG4" s="508"/>
      <c r="AH4" s="508"/>
      <c r="AI4" s="509"/>
      <c r="AJ4" s="507" t="s">
        <v>148</v>
      </c>
      <c r="AK4" s="508"/>
      <c r="AL4" s="508"/>
      <c r="AM4" s="509"/>
      <c r="AN4" s="507" t="s">
        <v>149</v>
      </c>
      <c r="AO4" s="508"/>
      <c r="AP4" s="508"/>
      <c r="AQ4" s="509"/>
      <c r="AR4" s="510" t="s">
        <v>145</v>
      </c>
      <c r="AS4" s="511"/>
      <c r="AT4" s="511"/>
      <c r="AU4" s="512"/>
      <c r="AV4" s="507" t="s">
        <v>146</v>
      </c>
      <c r="AW4" s="508"/>
      <c r="AX4" s="508"/>
      <c r="AY4" s="509"/>
      <c r="AZ4" s="507" t="s">
        <v>147</v>
      </c>
      <c r="BA4" s="508"/>
      <c r="BB4" s="508"/>
      <c r="BC4" s="509"/>
      <c r="BD4" s="507" t="s">
        <v>148</v>
      </c>
      <c r="BE4" s="508"/>
      <c r="BF4" s="508"/>
      <c r="BG4" s="509"/>
      <c r="BH4" s="507" t="s">
        <v>149</v>
      </c>
      <c r="BI4" s="508"/>
      <c r="BJ4" s="508"/>
      <c r="BK4" s="509"/>
      <c r="BL4" s="510" t="s">
        <v>145</v>
      </c>
      <c r="BM4" s="511"/>
      <c r="BN4" s="511"/>
      <c r="BO4" s="512"/>
      <c r="BP4" s="507" t="s">
        <v>146</v>
      </c>
      <c r="BQ4" s="508"/>
      <c r="BR4" s="508"/>
      <c r="BS4" s="509"/>
      <c r="BT4" s="507" t="s">
        <v>147</v>
      </c>
      <c r="BU4" s="508"/>
      <c r="BV4" s="508"/>
      <c r="BW4" s="509"/>
      <c r="BX4" s="507" t="s">
        <v>148</v>
      </c>
      <c r="BY4" s="508"/>
      <c r="BZ4" s="508"/>
      <c r="CA4" s="509"/>
      <c r="CB4" s="507" t="s">
        <v>149</v>
      </c>
      <c r="CC4" s="508"/>
      <c r="CD4" s="508"/>
      <c r="CE4" s="509"/>
      <c r="CF4" s="510" t="s">
        <v>145</v>
      </c>
      <c r="CG4" s="511"/>
      <c r="CH4" s="511"/>
      <c r="CI4" s="512"/>
      <c r="CJ4" s="507" t="s">
        <v>146</v>
      </c>
      <c r="CK4" s="508"/>
      <c r="CL4" s="508"/>
      <c r="CM4" s="509"/>
      <c r="CN4" s="507" t="s">
        <v>147</v>
      </c>
      <c r="CO4" s="508"/>
      <c r="CP4" s="508"/>
      <c r="CQ4" s="509"/>
      <c r="CR4" s="507" t="s">
        <v>148</v>
      </c>
      <c r="CS4" s="508"/>
      <c r="CT4" s="508"/>
      <c r="CU4" s="509"/>
      <c r="CV4" s="507" t="s">
        <v>149</v>
      </c>
      <c r="CW4" s="508"/>
      <c r="CX4" s="508"/>
      <c r="CY4" s="509"/>
      <c r="CZ4" s="520" t="s">
        <v>145</v>
      </c>
      <c r="DA4" s="520"/>
      <c r="DB4" s="520"/>
      <c r="DC4" s="520"/>
      <c r="DD4" s="524" t="s">
        <v>146</v>
      </c>
      <c r="DE4" s="524"/>
      <c r="DF4" s="524"/>
      <c r="DG4" s="524"/>
      <c r="DH4" s="524" t="s">
        <v>147</v>
      </c>
      <c r="DI4" s="524"/>
      <c r="DJ4" s="524"/>
      <c r="DK4" s="524"/>
      <c r="DL4" s="524" t="s">
        <v>148</v>
      </c>
      <c r="DM4" s="524"/>
      <c r="DN4" s="524"/>
      <c r="DO4" s="524"/>
      <c r="DP4" s="524" t="s">
        <v>149</v>
      </c>
      <c r="DQ4" s="524"/>
      <c r="DR4" s="524"/>
      <c r="DS4" s="524"/>
      <c r="DT4" s="120"/>
    </row>
    <row r="5" spans="1:124" s="22" customFormat="1" ht="15" customHeight="1" x14ac:dyDescent="0.2">
      <c r="A5" s="518"/>
      <c r="B5" s="520"/>
      <c r="C5" s="520"/>
      <c r="D5" s="180" t="s">
        <v>90</v>
      </c>
      <c r="E5" s="513" t="s">
        <v>91</v>
      </c>
      <c r="F5" s="514"/>
      <c r="G5" s="515"/>
      <c r="H5" s="180" t="s">
        <v>90</v>
      </c>
      <c r="I5" s="513" t="s">
        <v>91</v>
      </c>
      <c r="J5" s="514"/>
      <c r="K5" s="515"/>
      <c r="L5" s="180" t="s">
        <v>90</v>
      </c>
      <c r="M5" s="513" t="s">
        <v>91</v>
      </c>
      <c r="N5" s="514"/>
      <c r="O5" s="515"/>
      <c r="P5" s="331" t="s">
        <v>90</v>
      </c>
      <c r="Q5" s="513" t="s">
        <v>91</v>
      </c>
      <c r="R5" s="514"/>
      <c r="S5" s="515"/>
      <c r="T5" s="331" t="s">
        <v>90</v>
      </c>
      <c r="U5" s="513" t="s">
        <v>91</v>
      </c>
      <c r="V5" s="514"/>
      <c r="W5" s="515"/>
      <c r="X5" s="331" t="s">
        <v>90</v>
      </c>
      <c r="Y5" s="513" t="s">
        <v>91</v>
      </c>
      <c r="Z5" s="514"/>
      <c r="AA5" s="515"/>
      <c r="AB5" s="331" t="s">
        <v>90</v>
      </c>
      <c r="AC5" s="513" t="s">
        <v>91</v>
      </c>
      <c r="AD5" s="514"/>
      <c r="AE5" s="515"/>
      <c r="AF5" s="331" t="s">
        <v>90</v>
      </c>
      <c r="AG5" s="513" t="s">
        <v>91</v>
      </c>
      <c r="AH5" s="514"/>
      <c r="AI5" s="515"/>
      <c r="AJ5" s="331" t="s">
        <v>90</v>
      </c>
      <c r="AK5" s="513" t="s">
        <v>91</v>
      </c>
      <c r="AL5" s="514"/>
      <c r="AM5" s="515"/>
      <c r="AN5" s="331" t="s">
        <v>90</v>
      </c>
      <c r="AO5" s="513" t="s">
        <v>91</v>
      </c>
      <c r="AP5" s="514"/>
      <c r="AQ5" s="515"/>
      <c r="AR5" s="331" t="s">
        <v>90</v>
      </c>
      <c r="AS5" s="513" t="s">
        <v>91</v>
      </c>
      <c r="AT5" s="514"/>
      <c r="AU5" s="515"/>
      <c r="AV5" s="331" t="s">
        <v>90</v>
      </c>
      <c r="AW5" s="513" t="s">
        <v>91</v>
      </c>
      <c r="AX5" s="514"/>
      <c r="AY5" s="515"/>
      <c r="AZ5" s="331" t="s">
        <v>90</v>
      </c>
      <c r="BA5" s="513" t="s">
        <v>91</v>
      </c>
      <c r="BB5" s="514"/>
      <c r="BC5" s="515"/>
      <c r="BD5" s="331" t="s">
        <v>90</v>
      </c>
      <c r="BE5" s="513" t="s">
        <v>91</v>
      </c>
      <c r="BF5" s="514"/>
      <c r="BG5" s="515"/>
      <c r="BH5" s="331" t="s">
        <v>90</v>
      </c>
      <c r="BI5" s="513" t="s">
        <v>91</v>
      </c>
      <c r="BJ5" s="514"/>
      <c r="BK5" s="515"/>
      <c r="BL5" s="331" t="s">
        <v>90</v>
      </c>
      <c r="BM5" s="513" t="s">
        <v>91</v>
      </c>
      <c r="BN5" s="514"/>
      <c r="BO5" s="515"/>
      <c r="BP5" s="331" t="s">
        <v>90</v>
      </c>
      <c r="BQ5" s="513" t="s">
        <v>91</v>
      </c>
      <c r="BR5" s="514"/>
      <c r="BS5" s="515"/>
      <c r="BT5" s="331" t="s">
        <v>90</v>
      </c>
      <c r="BU5" s="513" t="s">
        <v>91</v>
      </c>
      <c r="BV5" s="514"/>
      <c r="BW5" s="515"/>
      <c r="BX5" s="331" t="s">
        <v>90</v>
      </c>
      <c r="BY5" s="513" t="s">
        <v>91</v>
      </c>
      <c r="BZ5" s="514"/>
      <c r="CA5" s="515"/>
      <c r="CB5" s="331" t="s">
        <v>90</v>
      </c>
      <c r="CC5" s="513" t="s">
        <v>91</v>
      </c>
      <c r="CD5" s="514"/>
      <c r="CE5" s="515"/>
      <c r="CF5" s="331" t="s">
        <v>90</v>
      </c>
      <c r="CG5" s="513" t="s">
        <v>91</v>
      </c>
      <c r="CH5" s="514"/>
      <c r="CI5" s="515"/>
      <c r="CJ5" s="331" t="s">
        <v>90</v>
      </c>
      <c r="CK5" s="513" t="s">
        <v>91</v>
      </c>
      <c r="CL5" s="514"/>
      <c r="CM5" s="515"/>
      <c r="CN5" s="331" t="s">
        <v>90</v>
      </c>
      <c r="CO5" s="513" t="s">
        <v>91</v>
      </c>
      <c r="CP5" s="514"/>
      <c r="CQ5" s="515"/>
      <c r="CR5" s="331" t="s">
        <v>90</v>
      </c>
      <c r="CS5" s="513" t="s">
        <v>91</v>
      </c>
      <c r="CT5" s="514"/>
      <c r="CU5" s="515"/>
      <c r="CV5" s="331" t="s">
        <v>90</v>
      </c>
      <c r="CW5" s="513" t="s">
        <v>91</v>
      </c>
      <c r="CX5" s="514"/>
      <c r="CY5" s="515"/>
      <c r="CZ5" s="331" t="s">
        <v>90</v>
      </c>
      <c r="DA5" s="513" t="s">
        <v>91</v>
      </c>
      <c r="DB5" s="514"/>
      <c r="DC5" s="515"/>
      <c r="DD5" s="331" t="s">
        <v>90</v>
      </c>
      <c r="DE5" s="513" t="s">
        <v>91</v>
      </c>
      <c r="DF5" s="514"/>
      <c r="DG5" s="515"/>
      <c r="DH5" s="331" t="s">
        <v>90</v>
      </c>
      <c r="DI5" s="513" t="s">
        <v>91</v>
      </c>
      <c r="DJ5" s="514"/>
      <c r="DK5" s="515"/>
      <c r="DL5" s="331" t="s">
        <v>90</v>
      </c>
      <c r="DM5" s="513" t="s">
        <v>91</v>
      </c>
      <c r="DN5" s="514"/>
      <c r="DO5" s="515"/>
      <c r="DP5" s="182" t="s">
        <v>90</v>
      </c>
      <c r="DQ5" s="513" t="s">
        <v>91</v>
      </c>
      <c r="DR5" s="514"/>
      <c r="DS5" s="515"/>
      <c r="DT5" s="120"/>
    </row>
    <row r="6" spans="1:124" s="22" customFormat="1" ht="19.5" customHeight="1" x14ac:dyDescent="0.2">
      <c r="A6" s="519"/>
      <c r="B6" s="520"/>
      <c r="C6" s="520"/>
      <c r="D6" s="23" t="s">
        <v>92</v>
      </c>
      <c r="E6" s="23" t="s">
        <v>93</v>
      </c>
      <c r="F6" s="23" t="s">
        <v>94</v>
      </c>
      <c r="G6" s="179">
        <v>58176.36400000006</v>
      </c>
      <c r="H6" s="23" t="s">
        <v>92</v>
      </c>
      <c r="I6" s="23" t="s">
        <v>93</v>
      </c>
      <c r="J6" s="23" t="s">
        <v>94</v>
      </c>
      <c r="K6" s="23" t="s">
        <v>92</v>
      </c>
      <c r="L6" s="23" t="s">
        <v>92</v>
      </c>
      <c r="M6" s="23" t="s">
        <v>93</v>
      </c>
      <c r="N6" s="23" t="s">
        <v>94</v>
      </c>
      <c r="O6" s="23" t="s">
        <v>92</v>
      </c>
      <c r="P6" s="331" t="s">
        <v>92</v>
      </c>
      <c r="Q6" s="331" t="s">
        <v>93</v>
      </c>
      <c r="R6" s="331" t="s">
        <v>94</v>
      </c>
      <c r="S6" s="331" t="s">
        <v>92</v>
      </c>
      <c r="T6" s="331" t="s">
        <v>92</v>
      </c>
      <c r="U6" s="331" t="s">
        <v>93</v>
      </c>
      <c r="V6" s="331" t="s">
        <v>94</v>
      </c>
      <c r="W6" s="331" t="s">
        <v>92</v>
      </c>
      <c r="X6" s="331" t="s">
        <v>92</v>
      </c>
      <c r="Y6" s="331" t="s">
        <v>93</v>
      </c>
      <c r="Z6" s="331" t="s">
        <v>94</v>
      </c>
      <c r="AA6" s="331" t="s">
        <v>92</v>
      </c>
      <c r="AB6" s="331" t="s">
        <v>92</v>
      </c>
      <c r="AC6" s="331" t="s">
        <v>93</v>
      </c>
      <c r="AD6" s="331" t="s">
        <v>94</v>
      </c>
      <c r="AE6" s="331" t="s">
        <v>92</v>
      </c>
      <c r="AF6" s="331" t="s">
        <v>92</v>
      </c>
      <c r="AG6" s="331" t="s">
        <v>93</v>
      </c>
      <c r="AH6" s="331" t="s">
        <v>94</v>
      </c>
      <c r="AI6" s="331" t="s">
        <v>92</v>
      </c>
      <c r="AJ6" s="331" t="s">
        <v>92</v>
      </c>
      <c r="AK6" s="331" t="s">
        <v>93</v>
      </c>
      <c r="AL6" s="331" t="s">
        <v>94</v>
      </c>
      <c r="AM6" s="331" t="s">
        <v>92</v>
      </c>
      <c r="AN6" s="331" t="s">
        <v>92</v>
      </c>
      <c r="AO6" s="331" t="s">
        <v>93</v>
      </c>
      <c r="AP6" s="331" t="s">
        <v>94</v>
      </c>
      <c r="AQ6" s="331" t="s">
        <v>92</v>
      </c>
      <c r="AR6" s="331" t="s">
        <v>92</v>
      </c>
      <c r="AS6" s="331" t="s">
        <v>93</v>
      </c>
      <c r="AT6" s="331" t="s">
        <v>94</v>
      </c>
      <c r="AU6" s="331" t="s">
        <v>92</v>
      </c>
      <c r="AV6" s="331" t="s">
        <v>92</v>
      </c>
      <c r="AW6" s="331" t="s">
        <v>93</v>
      </c>
      <c r="AX6" s="331" t="s">
        <v>94</v>
      </c>
      <c r="AY6" s="331" t="s">
        <v>92</v>
      </c>
      <c r="AZ6" s="331" t="s">
        <v>92</v>
      </c>
      <c r="BA6" s="331" t="s">
        <v>93</v>
      </c>
      <c r="BB6" s="331" t="s">
        <v>94</v>
      </c>
      <c r="BC6" s="331" t="s">
        <v>92</v>
      </c>
      <c r="BD6" s="331" t="s">
        <v>92</v>
      </c>
      <c r="BE6" s="331" t="s">
        <v>93</v>
      </c>
      <c r="BF6" s="331" t="s">
        <v>94</v>
      </c>
      <c r="BG6" s="331" t="s">
        <v>92</v>
      </c>
      <c r="BH6" s="331" t="s">
        <v>92</v>
      </c>
      <c r="BI6" s="331" t="s">
        <v>93</v>
      </c>
      <c r="BJ6" s="331" t="s">
        <v>94</v>
      </c>
      <c r="BK6" s="331" t="s">
        <v>92</v>
      </c>
      <c r="BL6" s="331" t="s">
        <v>92</v>
      </c>
      <c r="BM6" s="331" t="s">
        <v>93</v>
      </c>
      <c r="BN6" s="331" t="s">
        <v>94</v>
      </c>
      <c r="BO6" s="331" t="s">
        <v>92</v>
      </c>
      <c r="BP6" s="331" t="s">
        <v>92</v>
      </c>
      <c r="BQ6" s="331" t="s">
        <v>93</v>
      </c>
      <c r="BR6" s="331" t="s">
        <v>94</v>
      </c>
      <c r="BS6" s="331" t="s">
        <v>92</v>
      </c>
      <c r="BT6" s="331" t="s">
        <v>92</v>
      </c>
      <c r="BU6" s="331" t="s">
        <v>93</v>
      </c>
      <c r="BV6" s="331" t="s">
        <v>94</v>
      </c>
      <c r="BW6" s="331" t="s">
        <v>92</v>
      </c>
      <c r="BX6" s="331" t="s">
        <v>92</v>
      </c>
      <c r="BY6" s="331" t="s">
        <v>93</v>
      </c>
      <c r="BZ6" s="331" t="s">
        <v>94</v>
      </c>
      <c r="CA6" s="331" t="s">
        <v>92</v>
      </c>
      <c r="CB6" s="331" t="s">
        <v>92</v>
      </c>
      <c r="CC6" s="331" t="s">
        <v>93</v>
      </c>
      <c r="CD6" s="331" t="s">
        <v>94</v>
      </c>
      <c r="CE6" s="331" t="s">
        <v>92</v>
      </c>
      <c r="CF6" s="331" t="s">
        <v>92</v>
      </c>
      <c r="CG6" s="331" t="s">
        <v>93</v>
      </c>
      <c r="CH6" s="331" t="s">
        <v>94</v>
      </c>
      <c r="CI6" s="331" t="s">
        <v>92</v>
      </c>
      <c r="CJ6" s="331" t="s">
        <v>92</v>
      </c>
      <c r="CK6" s="331" t="s">
        <v>93</v>
      </c>
      <c r="CL6" s="331" t="s">
        <v>94</v>
      </c>
      <c r="CM6" s="331" t="s">
        <v>92</v>
      </c>
      <c r="CN6" s="331" t="s">
        <v>92</v>
      </c>
      <c r="CO6" s="331" t="s">
        <v>93</v>
      </c>
      <c r="CP6" s="331" t="s">
        <v>94</v>
      </c>
      <c r="CQ6" s="331" t="s">
        <v>92</v>
      </c>
      <c r="CR6" s="331" t="s">
        <v>92</v>
      </c>
      <c r="CS6" s="331" t="s">
        <v>93</v>
      </c>
      <c r="CT6" s="331" t="s">
        <v>94</v>
      </c>
      <c r="CU6" s="331" t="s">
        <v>92</v>
      </c>
      <c r="CV6" s="331" t="s">
        <v>92</v>
      </c>
      <c r="CW6" s="331" t="s">
        <v>93</v>
      </c>
      <c r="CX6" s="331" t="s">
        <v>94</v>
      </c>
      <c r="CY6" s="331" t="s">
        <v>92</v>
      </c>
      <c r="CZ6" s="331" t="s">
        <v>92</v>
      </c>
      <c r="DA6" s="331" t="s">
        <v>93</v>
      </c>
      <c r="DB6" s="331" t="s">
        <v>94</v>
      </c>
      <c r="DC6" s="331" t="s">
        <v>92</v>
      </c>
      <c r="DD6" s="331" t="s">
        <v>92</v>
      </c>
      <c r="DE6" s="331" t="s">
        <v>93</v>
      </c>
      <c r="DF6" s="331" t="s">
        <v>94</v>
      </c>
      <c r="DG6" s="331" t="s">
        <v>92</v>
      </c>
      <c r="DH6" s="331" t="s">
        <v>92</v>
      </c>
      <c r="DI6" s="331" t="s">
        <v>93</v>
      </c>
      <c r="DJ6" s="331" t="s">
        <v>94</v>
      </c>
      <c r="DK6" s="331" t="s">
        <v>92</v>
      </c>
      <c r="DL6" s="331" t="s">
        <v>92</v>
      </c>
      <c r="DM6" s="331" t="s">
        <v>93</v>
      </c>
      <c r="DN6" s="331" t="s">
        <v>94</v>
      </c>
      <c r="DO6" s="331" t="s">
        <v>92</v>
      </c>
      <c r="DP6" s="182" t="s">
        <v>92</v>
      </c>
      <c r="DQ6" s="182" t="s">
        <v>93</v>
      </c>
      <c r="DR6" s="182" t="s">
        <v>94</v>
      </c>
      <c r="DS6" s="182" t="s">
        <v>92</v>
      </c>
      <c r="DT6" s="120"/>
    </row>
    <row r="7" spans="1:124" s="25" customFormat="1" ht="15" x14ac:dyDescent="0.2">
      <c r="A7" s="23">
        <v>1</v>
      </c>
      <c r="B7" s="23">
        <v>2</v>
      </c>
      <c r="C7" s="23">
        <v>3</v>
      </c>
      <c r="D7" s="23">
        <f>C7+1</f>
        <v>4</v>
      </c>
      <c r="E7" s="23">
        <v>5</v>
      </c>
      <c r="F7" s="23">
        <v>6</v>
      </c>
      <c r="G7" s="23">
        <v>7</v>
      </c>
      <c r="H7" s="24">
        <v>8</v>
      </c>
      <c r="I7" s="24">
        <f>H7+1</f>
        <v>9</v>
      </c>
      <c r="J7" s="24">
        <f>I7+1</f>
        <v>10</v>
      </c>
      <c r="K7" s="24">
        <f>J7+1</f>
        <v>11</v>
      </c>
      <c r="L7" s="24">
        <v>8</v>
      </c>
      <c r="M7" s="24">
        <f>L7+1</f>
        <v>9</v>
      </c>
      <c r="N7" s="24">
        <f>M7+1</f>
        <v>10</v>
      </c>
      <c r="O7" s="24">
        <f>N7+1</f>
        <v>11</v>
      </c>
      <c r="P7" s="330">
        <v>4</v>
      </c>
      <c r="Q7" s="330">
        <f>P7+1</f>
        <v>5</v>
      </c>
      <c r="R7" s="330">
        <f>Q7+1</f>
        <v>6</v>
      </c>
      <c r="S7" s="330">
        <f>R7+1</f>
        <v>7</v>
      </c>
      <c r="T7" s="330">
        <f>K7+1</f>
        <v>12</v>
      </c>
      <c r="U7" s="330">
        <f t="shared" ref="U7:AM7" si="0">T7+1</f>
        <v>13</v>
      </c>
      <c r="V7" s="330">
        <f t="shared" si="0"/>
        <v>14</v>
      </c>
      <c r="W7" s="330">
        <f t="shared" si="0"/>
        <v>15</v>
      </c>
      <c r="X7" s="330">
        <f t="shared" si="0"/>
        <v>16</v>
      </c>
      <c r="Y7" s="331">
        <f t="shared" si="0"/>
        <v>17</v>
      </c>
      <c r="Z7" s="331">
        <f t="shared" si="0"/>
        <v>18</v>
      </c>
      <c r="AA7" s="331">
        <f t="shared" si="0"/>
        <v>19</v>
      </c>
      <c r="AB7" s="331">
        <f t="shared" si="0"/>
        <v>20</v>
      </c>
      <c r="AC7" s="331">
        <f t="shared" si="0"/>
        <v>21</v>
      </c>
      <c r="AD7" s="331">
        <f t="shared" si="0"/>
        <v>22</v>
      </c>
      <c r="AE7" s="331">
        <f t="shared" si="0"/>
        <v>23</v>
      </c>
      <c r="AF7" s="331">
        <f t="shared" si="0"/>
        <v>24</v>
      </c>
      <c r="AG7" s="331">
        <f t="shared" si="0"/>
        <v>25</v>
      </c>
      <c r="AH7" s="331">
        <f t="shared" si="0"/>
        <v>26</v>
      </c>
      <c r="AI7" s="331">
        <f t="shared" si="0"/>
        <v>27</v>
      </c>
      <c r="AJ7" s="331">
        <v>8</v>
      </c>
      <c r="AK7" s="331">
        <f t="shared" si="0"/>
        <v>9</v>
      </c>
      <c r="AL7" s="331">
        <f t="shared" si="0"/>
        <v>10</v>
      </c>
      <c r="AM7" s="331">
        <f t="shared" si="0"/>
        <v>11</v>
      </c>
      <c r="AN7" s="331">
        <f>AE7+1</f>
        <v>24</v>
      </c>
      <c r="AO7" s="331">
        <f t="shared" ref="AO7:BG7" si="1">AN7+1</f>
        <v>25</v>
      </c>
      <c r="AP7" s="331">
        <f t="shared" si="1"/>
        <v>26</v>
      </c>
      <c r="AQ7" s="331">
        <f t="shared" si="1"/>
        <v>27</v>
      </c>
      <c r="AR7" s="331">
        <f t="shared" si="1"/>
        <v>28</v>
      </c>
      <c r="AS7" s="331">
        <f t="shared" si="1"/>
        <v>29</v>
      </c>
      <c r="AT7" s="331">
        <f t="shared" si="1"/>
        <v>30</v>
      </c>
      <c r="AU7" s="331">
        <f t="shared" si="1"/>
        <v>31</v>
      </c>
      <c r="AV7" s="331">
        <f t="shared" si="1"/>
        <v>32</v>
      </c>
      <c r="AW7" s="331">
        <f t="shared" si="1"/>
        <v>33</v>
      </c>
      <c r="AX7" s="331">
        <f t="shared" si="1"/>
        <v>34</v>
      </c>
      <c r="AY7" s="331">
        <f t="shared" si="1"/>
        <v>35</v>
      </c>
      <c r="AZ7" s="331">
        <f t="shared" si="1"/>
        <v>36</v>
      </c>
      <c r="BA7" s="331">
        <f t="shared" si="1"/>
        <v>37</v>
      </c>
      <c r="BB7" s="331">
        <f t="shared" si="1"/>
        <v>38</v>
      </c>
      <c r="BC7" s="331">
        <f t="shared" si="1"/>
        <v>39</v>
      </c>
      <c r="BD7" s="331">
        <v>12</v>
      </c>
      <c r="BE7" s="331">
        <f t="shared" si="1"/>
        <v>13</v>
      </c>
      <c r="BF7" s="331">
        <f t="shared" si="1"/>
        <v>14</v>
      </c>
      <c r="BG7" s="331">
        <f t="shared" si="1"/>
        <v>15</v>
      </c>
      <c r="BH7" s="331">
        <f>AY7+1</f>
        <v>36</v>
      </c>
      <c r="BI7" s="331">
        <f t="shared" ref="BI7:CA7" si="2">BH7+1</f>
        <v>37</v>
      </c>
      <c r="BJ7" s="331">
        <f t="shared" si="2"/>
        <v>38</v>
      </c>
      <c r="BK7" s="331">
        <f t="shared" si="2"/>
        <v>39</v>
      </c>
      <c r="BL7" s="331">
        <f t="shared" si="2"/>
        <v>40</v>
      </c>
      <c r="BM7" s="331">
        <f t="shared" si="2"/>
        <v>41</v>
      </c>
      <c r="BN7" s="331">
        <f t="shared" si="2"/>
        <v>42</v>
      </c>
      <c r="BO7" s="331">
        <f t="shared" si="2"/>
        <v>43</v>
      </c>
      <c r="BP7" s="331">
        <f t="shared" si="2"/>
        <v>44</v>
      </c>
      <c r="BQ7" s="331">
        <f t="shared" si="2"/>
        <v>45</v>
      </c>
      <c r="BR7" s="331">
        <f t="shared" si="2"/>
        <v>46</v>
      </c>
      <c r="BS7" s="331">
        <f t="shared" si="2"/>
        <v>47</v>
      </c>
      <c r="BT7" s="331">
        <f t="shared" si="2"/>
        <v>48</v>
      </c>
      <c r="BU7" s="331">
        <f t="shared" si="2"/>
        <v>49</v>
      </c>
      <c r="BV7" s="331">
        <f t="shared" si="2"/>
        <v>50</v>
      </c>
      <c r="BW7" s="331">
        <f t="shared" si="2"/>
        <v>51</v>
      </c>
      <c r="BX7" s="331">
        <v>16</v>
      </c>
      <c r="BY7" s="331">
        <f t="shared" si="2"/>
        <v>17</v>
      </c>
      <c r="BZ7" s="331">
        <f t="shared" si="2"/>
        <v>18</v>
      </c>
      <c r="CA7" s="331">
        <f t="shared" si="2"/>
        <v>19</v>
      </c>
      <c r="CB7" s="331">
        <f>BS7+1</f>
        <v>48</v>
      </c>
      <c r="CC7" s="331">
        <f t="shared" ref="CC7:CU7" si="3">CB7+1</f>
        <v>49</v>
      </c>
      <c r="CD7" s="331">
        <f t="shared" si="3"/>
        <v>50</v>
      </c>
      <c r="CE7" s="331">
        <f t="shared" si="3"/>
        <v>51</v>
      </c>
      <c r="CF7" s="331">
        <f t="shared" si="3"/>
        <v>52</v>
      </c>
      <c r="CG7" s="331">
        <f t="shared" si="3"/>
        <v>53</v>
      </c>
      <c r="CH7" s="331">
        <f t="shared" si="3"/>
        <v>54</v>
      </c>
      <c r="CI7" s="331">
        <f t="shared" si="3"/>
        <v>55</v>
      </c>
      <c r="CJ7" s="331">
        <f t="shared" si="3"/>
        <v>56</v>
      </c>
      <c r="CK7" s="331">
        <f t="shared" si="3"/>
        <v>57</v>
      </c>
      <c r="CL7" s="331">
        <f t="shared" si="3"/>
        <v>58</v>
      </c>
      <c r="CM7" s="331">
        <f t="shared" si="3"/>
        <v>59</v>
      </c>
      <c r="CN7" s="331">
        <f t="shared" si="3"/>
        <v>60</v>
      </c>
      <c r="CO7" s="331">
        <f t="shared" si="3"/>
        <v>61</v>
      </c>
      <c r="CP7" s="331">
        <f t="shared" si="3"/>
        <v>62</v>
      </c>
      <c r="CQ7" s="331">
        <f t="shared" si="3"/>
        <v>63</v>
      </c>
      <c r="CR7" s="331">
        <v>20</v>
      </c>
      <c r="CS7" s="331">
        <f t="shared" si="3"/>
        <v>21</v>
      </c>
      <c r="CT7" s="331">
        <f t="shared" si="3"/>
        <v>22</v>
      </c>
      <c r="CU7" s="331">
        <f t="shared" si="3"/>
        <v>23</v>
      </c>
      <c r="CV7" s="331">
        <f>CJ7+1</f>
        <v>57</v>
      </c>
      <c r="CW7" s="331"/>
      <c r="CX7" s="331"/>
      <c r="CY7" s="331"/>
      <c r="CZ7" s="331">
        <f>CV7+1</f>
        <v>58</v>
      </c>
      <c r="DA7" s="331">
        <f t="shared" ref="DA7:DG7" si="4">CZ7+1</f>
        <v>59</v>
      </c>
      <c r="DB7" s="331">
        <f t="shared" si="4"/>
        <v>60</v>
      </c>
      <c r="DC7" s="331">
        <f t="shared" si="4"/>
        <v>61</v>
      </c>
      <c r="DD7" s="331">
        <f t="shared" si="4"/>
        <v>62</v>
      </c>
      <c r="DE7" s="331">
        <f t="shared" si="4"/>
        <v>63</v>
      </c>
      <c r="DF7" s="331">
        <f t="shared" si="4"/>
        <v>64</v>
      </c>
      <c r="DG7" s="331">
        <f t="shared" si="4"/>
        <v>65</v>
      </c>
      <c r="DH7" s="331">
        <f t="shared" ref="DH7:DO7" si="5">DG7+1</f>
        <v>66</v>
      </c>
      <c r="DI7" s="331">
        <f t="shared" si="5"/>
        <v>67</v>
      </c>
      <c r="DJ7" s="331">
        <f t="shared" si="5"/>
        <v>68</v>
      </c>
      <c r="DK7" s="331">
        <f t="shared" si="5"/>
        <v>69</v>
      </c>
      <c r="DL7" s="331">
        <v>24</v>
      </c>
      <c r="DM7" s="331">
        <f t="shared" si="5"/>
        <v>25</v>
      </c>
      <c r="DN7" s="331">
        <f t="shared" si="5"/>
        <v>26</v>
      </c>
      <c r="DO7" s="331">
        <f t="shared" si="5"/>
        <v>27</v>
      </c>
      <c r="DP7" s="182">
        <f>DG7+1</f>
        <v>66</v>
      </c>
      <c r="DQ7" s="182">
        <f>DP7+1</f>
        <v>67</v>
      </c>
      <c r="DR7" s="182">
        <f>DQ7+1</f>
        <v>68</v>
      </c>
      <c r="DS7" s="182">
        <f>DR7+1</f>
        <v>69</v>
      </c>
      <c r="DT7" s="121"/>
    </row>
    <row r="8" spans="1:124" s="25" customFormat="1" ht="28.5" x14ac:dyDescent="0.2">
      <c r="A8" s="26" t="s">
        <v>6</v>
      </c>
      <c r="B8" s="27" t="s">
        <v>95</v>
      </c>
      <c r="C8" s="28" t="s">
        <v>96</v>
      </c>
      <c r="D8" s="29"/>
      <c r="E8" s="152"/>
      <c r="F8" s="153"/>
      <c r="G8" s="154"/>
      <c r="H8" s="29"/>
      <c r="I8" s="30"/>
      <c r="J8" s="31"/>
      <c r="K8" s="32"/>
      <c r="L8" s="29"/>
      <c r="M8" s="30"/>
      <c r="N8" s="31"/>
      <c r="O8" s="32"/>
      <c r="P8" s="29"/>
      <c r="Q8" s="30"/>
      <c r="R8" s="31"/>
      <c r="S8" s="32"/>
      <c r="T8" s="29"/>
      <c r="U8" s="30"/>
      <c r="V8" s="31"/>
      <c r="W8" s="32"/>
      <c r="X8" s="29">
        <v>41324.958999999995</v>
      </c>
      <c r="Y8" s="30">
        <v>18233.813999999998</v>
      </c>
      <c r="Z8" s="31">
        <v>18193.099000000002</v>
      </c>
      <c r="AA8" s="32">
        <v>36426.913</v>
      </c>
      <c r="AB8" s="29">
        <v>41324.958999999995</v>
      </c>
      <c r="AC8" s="30">
        <v>15849.022999999999</v>
      </c>
      <c r="AD8" s="31">
        <v>15112.44</v>
      </c>
      <c r="AE8" s="32">
        <v>30961.463</v>
      </c>
      <c r="AF8" s="29">
        <v>39279.288</v>
      </c>
      <c r="AG8" s="30">
        <v>0</v>
      </c>
      <c r="AH8" s="31">
        <v>0</v>
      </c>
      <c r="AI8" s="32">
        <v>0</v>
      </c>
      <c r="AJ8" s="29">
        <v>35527.972000000002</v>
      </c>
      <c r="AK8" s="30">
        <v>14827.508999999998</v>
      </c>
      <c r="AL8" s="31">
        <v>13924.32986419963</v>
      </c>
      <c r="AM8" s="32">
        <v>28751.838864199628</v>
      </c>
      <c r="AN8" s="29">
        <v>41324.958999999995</v>
      </c>
      <c r="AO8" s="30"/>
      <c r="AP8" s="31"/>
      <c r="AQ8" s="32"/>
      <c r="AR8" s="29">
        <v>19883.667000000001</v>
      </c>
      <c r="AS8" s="30">
        <v>9730</v>
      </c>
      <c r="AT8" s="31">
        <v>8691</v>
      </c>
      <c r="AU8" s="33">
        <v>18421</v>
      </c>
      <c r="AV8" s="29">
        <v>19883.667000000001</v>
      </c>
      <c r="AW8" s="30">
        <v>8817</v>
      </c>
      <c r="AX8" s="31">
        <v>7941</v>
      </c>
      <c r="AY8" s="33">
        <v>16758</v>
      </c>
      <c r="AZ8" s="29">
        <v>19146.857</v>
      </c>
      <c r="BA8" s="30">
        <v>0</v>
      </c>
      <c r="BB8" s="31">
        <v>0</v>
      </c>
      <c r="BC8" s="32">
        <v>0</v>
      </c>
      <c r="BD8" s="29">
        <v>18203.667000000001</v>
      </c>
      <c r="BE8" s="30">
        <v>8660</v>
      </c>
      <c r="BF8" s="31">
        <v>7447</v>
      </c>
      <c r="BG8" s="32">
        <v>16107</v>
      </c>
      <c r="BH8" s="29">
        <v>19883.667000000001</v>
      </c>
      <c r="BI8" s="30"/>
      <c r="BJ8" s="31"/>
      <c r="BK8" s="33"/>
      <c r="BL8" s="29">
        <v>32734.050000000003</v>
      </c>
      <c r="BM8" s="30">
        <v>15334.924000000001</v>
      </c>
      <c r="BN8" s="31">
        <v>13627.937</v>
      </c>
      <c r="BO8" s="32">
        <v>28962.861000000001</v>
      </c>
      <c r="BP8" s="29">
        <v>32734.050000000003</v>
      </c>
      <c r="BQ8" s="30">
        <v>13603.849000000002</v>
      </c>
      <c r="BR8" s="31">
        <v>13544.665000000001</v>
      </c>
      <c r="BS8" s="32">
        <v>27148.514000000003</v>
      </c>
      <c r="BT8" s="29">
        <v>30918.138999999996</v>
      </c>
      <c r="BU8" s="30">
        <v>0</v>
      </c>
      <c r="BV8" s="31">
        <v>0</v>
      </c>
      <c r="BW8" s="32">
        <v>0</v>
      </c>
      <c r="BX8" s="29">
        <v>29658.508999999998</v>
      </c>
      <c r="BY8" s="30">
        <v>13456.791000000001</v>
      </c>
      <c r="BZ8" s="31">
        <v>13635.141</v>
      </c>
      <c r="CA8" s="32">
        <v>27091.932000000001</v>
      </c>
      <c r="CB8" s="29">
        <v>32734.050000000003</v>
      </c>
      <c r="CC8" s="30"/>
      <c r="CD8" s="31"/>
      <c r="CE8" s="32"/>
      <c r="CF8" s="29">
        <v>26938.349000000002</v>
      </c>
      <c r="CG8" s="30">
        <v>10365.67</v>
      </c>
      <c r="CH8" s="31">
        <v>9838.0640000000003</v>
      </c>
      <c r="CI8" s="32">
        <v>20203.734</v>
      </c>
      <c r="CJ8" s="29">
        <v>24805.870999999999</v>
      </c>
      <c r="CK8" s="30">
        <v>9782.0840000000007</v>
      </c>
      <c r="CL8" s="31">
        <v>10330.288000000002</v>
      </c>
      <c r="CM8" s="32">
        <v>20112.372000000003</v>
      </c>
      <c r="CN8" s="29">
        <v>22941.848000000002</v>
      </c>
      <c r="CO8" s="30">
        <v>0</v>
      </c>
      <c r="CP8" s="31">
        <v>0</v>
      </c>
      <c r="CQ8" s="32">
        <v>0</v>
      </c>
      <c r="CR8" s="29">
        <v>21288.136999999999</v>
      </c>
      <c r="CS8" s="30">
        <v>8965.9840000000004</v>
      </c>
      <c r="CT8" s="31">
        <v>8895.8279999999977</v>
      </c>
      <c r="CU8" s="32">
        <v>17861.811999999998</v>
      </c>
      <c r="CV8" s="29">
        <v>24805.870999999999</v>
      </c>
      <c r="CW8" s="30"/>
      <c r="CX8" s="31"/>
      <c r="CY8" s="32"/>
      <c r="CZ8" s="29">
        <v>27733.038</v>
      </c>
      <c r="DA8" s="30">
        <v>13121.49</v>
      </c>
      <c r="DB8" s="31">
        <v>13103.072999999999</v>
      </c>
      <c r="DC8" s="33">
        <v>26224.562999999998</v>
      </c>
      <c r="DD8" s="29">
        <v>27733.038</v>
      </c>
      <c r="DE8" s="30">
        <v>12743.746999999999</v>
      </c>
      <c r="DF8" s="31">
        <v>12158.178</v>
      </c>
      <c r="DG8" s="32">
        <v>24901.924999999999</v>
      </c>
      <c r="DH8" s="29">
        <v>27192.629000000001</v>
      </c>
      <c r="DI8" s="30">
        <v>0</v>
      </c>
      <c r="DJ8" s="31">
        <v>0</v>
      </c>
      <c r="DK8" s="32">
        <v>0</v>
      </c>
      <c r="DL8" s="29">
        <v>27192.629000000001</v>
      </c>
      <c r="DM8" s="30">
        <v>12635.255000000001</v>
      </c>
      <c r="DN8" s="31">
        <v>12388.443000000003</v>
      </c>
      <c r="DO8" s="32">
        <v>25023.698000000004</v>
      </c>
      <c r="DP8" s="29">
        <f t="shared" ref="DP8" si="6">DP9+DP10</f>
        <v>27733.038</v>
      </c>
      <c r="DQ8" s="30"/>
      <c r="DR8" s="31"/>
      <c r="DS8" s="33"/>
      <c r="DT8" s="121"/>
    </row>
    <row r="9" spans="1:124" s="25" customFormat="1" ht="15" x14ac:dyDescent="0.2">
      <c r="A9" s="34" t="s">
        <v>30</v>
      </c>
      <c r="B9" s="35" t="s">
        <v>129</v>
      </c>
      <c r="C9" s="36" t="s">
        <v>96</v>
      </c>
      <c r="D9" s="37"/>
      <c r="E9" s="155"/>
      <c r="F9" s="156"/>
      <c r="G9" s="157"/>
      <c r="H9" s="41"/>
      <c r="I9" s="38"/>
      <c r="J9" s="39"/>
      <c r="K9" s="40"/>
      <c r="L9" s="41"/>
      <c r="M9" s="38"/>
      <c r="N9" s="39"/>
      <c r="O9" s="40"/>
      <c r="P9" s="41"/>
      <c r="Q9" s="38"/>
      <c r="R9" s="39"/>
      <c r="S9" s="40"/>
      <c r="T9" s="41"/>
      <c r="U9" s="38"/>
      <c r="V9" s="39"/>
      <c r="W9" s="40"/>
      <c r="X9" s="37">
        <v>41324.958999999995</v>
      </c>
      <c r="Y9" s="38">
        <v>18233.813999999998</v>
      </c>
      <c r="Z9" s="39">
        <v>18193.099000000002</v>
      </c>
      <c r="AA9" s="40">
        <v>36426.913</v>
      </c>
      <c r="AB9" s="41">
        <v>41324.958999999995</v>
      </c>
      <c r="AC9" s="38">
        <v>15849.022999999999</v>
      </c>
      <c r="AD9" s="39">
        <v>15112.44</v>
      </c>
      <c r="AE9" s="40">
        <v>30961.463</v>
      </c>
      <c r="AF9" s="41">
        <v>39279.288</v>
      </c>
      <c r="AG9" s="38"/>
      <c r="AH9" s="39"/>
      <c r="AI9" s="40">
        <v>0</v>
      </c>
      <c r="AJ9" s="41">
        <v>35527.972000000002</v>
      </c>
      <c r="AK9" s="38">
        <v>14827.508999999998</v>
      </c>
      <c r="AL9" s="39">
        <v>13924.32986419963</v>
      </c>
      <c r="AM9" s="40">
        <v>28751.838864199628</v>
      </c>
      <c r="AN9" s="41">
        <v>41324.958999999995</v>
      </c>
      <c r="AO9" s="38"/>
      <c r="AP9" s="39"/>
      <c r="AQ9" s="40"/>
      <c r="AR9" s="37"/>
      <c r="AS9" s="38"/>
      <c r="AT9" s="39"/>
      <c r="AU9" s="42"/>
      <c r="AV9" s="41"/>
      <c r="AW9" s="38"/>
      <c r="AX9" s="39"/>
      <c r="AY9" s="42">
        <v>0</v>
      </c>
      <c r="AZ9" s="41"/>
      <c r="BA9" s="38"/>
      <c r="BB9" s="39"/>
      <c r="BC9" s="40">
        <v>0</v>
      </c>
      <c r="BD9" s="41"/>
      <c r="BE9" s="38"/>
      <c r="BF9" s="39"/>
      <c r="BG9" s="40">
        <v>0</v>
      </c>
      <c r="BH9" s="41"/>
      <c r="BI9" s="38"/>
      <c r="BJ9" s="39"/>
      <c r="BK9" s="42"/>
      <c r="BL9" s="37"/>
      <c r="BM9" s="38"/>
      <c r="BN9" s="39"/>
      <c r="BO9" s="40"/>
      <c r="BP9" s="41"/>
      <c r="BQ9" s="38"/>
      <c r="BR9" s="39"/>
      <c r="BS9" s="40"/>
      <c r="BT9" s="41"/>
      <c r="BU9" s="38"/>
      <c r="BV9" s="39"/>
      <c r="BW9" s="40"/>
      <c r="BX9" s="41"/>
      <c r="BY9" s="38"/>
      <c r="BZ9" s="39"/>
      <c r="CA9" s="40"/>
      <c r="CB9" s="41"/>
      <c r="CC9" s="38"/>
      <c r="CD9" s="39"/>
      <c r="CE9" s="40"/>
      <c r="CF9" s="37"/>
      <c r="CG9" s="38"/>
      <c r="CH9" s="39"/>
      <c r="CI9" s="40"/>
      <c r="CJ9" s="41"/>
      <c r="CK9" s="38"/>
      <c r="CL9" s="39"/>
      <c r="CM9" s="40"/>
      <c r="CN9" s="41"/>
      <c r="CO9" s="38"/>
      <c r="CP9" s="39"/>
      <c r="CQ9" s="40"/>
      <c r="CR9" s="41"/>
      <c r="CS9" s="38"/>
      <c r="CT9" s="39"/>
      <c r="CU9" s="40"/>
      <c r="CV9" s="41"/>
      <c r="CW9" s="38"/>
      <c r="CX9" s="39"/>
      <c r="CY9" s="40"/>
      <c r="CZ9" s="37"/>
      <c r="DA9" s="38"/>
      <c r="DB9" s="39"/>
      <c r="DC9" s="42"/>
      <c r="DD9" s="41"/>
      <c r="DE9" s="38"/>
      <c r="DF9" s="39"/>
      <c r="DG9" s="40"/>
      <c r="DH9" s="41"/>
      <c r="DI9" s="38"/>
      <c r="DJ9" s="39"/>
      <c r="DK9" s="40"/>
      <c r="DL9" s="41"/>
      <c r="DM9" s="38"/>
      <c r="DN9" s="39"/>
      <c r="DO9" s="40"/>
      <c r="DP9" s="41"/>
      <c r="DQ9" s="38"/>
      <c r="DR9" s="39"/>
      <c r="DS9" s="42"/>
      <c r="DT9" s="121"/>
    </row>
    <row r="10" spans="1:124" s="25" customFormat="1" ht="15" x14ac:dyDescent="0.2">
      <c r="A10" s="43" t="s">
        <v>31</v>
      </c>
      <c r="B10" s="44" t="s">
        <v>97</v>
      </c>
      <c r="C10" s="45" t="s">
        <v>96</v>
      </c>
      <c r="D10" s="41"/>
      <c r="E10" s="158"/>
      <c r="F10" s="159"/>
      <c r="G10" s="160"/>
      <c r="H10" s="41"/>
      <c r="I10" s="46"/>
      <c r="J10" s="47"/>
      <c r="K10" s="48"/>
      <c r="L10" s="41"/>
      <c r="M10" s="46"/>
      <c r="N10" s="47"/>
      <c r="O10" s="48"/>
      <c r="P10" s="41"/>
      <c r="Q10" s="46"/>
      <c r="R10" s="47"/>
      <c r="S10" s="48"/>
      <c r="T10" s="41"/>
      <c r="U10" s="46"/>
      <c r="V10" s="47"/>
      <c r="W10" s="48"/>
      <c r="X10" s="41"/>
      <c r="Y10" s="46"/>
      <c r="Z10" s="47"/>
      <c r="AA10" s="48"/>
      <c r="AB10" s="41"/>
      <c r="AC10" s="46"/>
      <c r="AD10" s="47"/>
      <c r="AE10" s="48"/>
      <c r="AF10" s="41"/>
      <c r="AG10" s="46"/>
      <c r="AH10" s="47"/>
      <c r="AI10" s="48"/>
      <c r="AJ10" s="41"/>
      <c r="AK10" s="46"/>
      <c r="AL10" s="47"/>
      <c r="AM10" s="48"/>
      <c r="AN10" s="41"/>
      <c r="AO10" s="46"/>
      <c r="AP10" s="47"/>
      <c r="AQ10" s="48"/>
      <c r="AR10" s="41">
        <v>19883.667000000001</v>
      </c>
      <c r="AS10" s="46">
        <v>9730</v>
      </c>
      <c r="AT10" s="47">
        <v>8691</v>
      </c>
      <c r="AU10" s="49">
        <v>18421</v>
      </c>
      <c r="AV10" s="41">
        <v>19883.667000000001</v>
      </c>
      <c r="AW10" s="46">
        <v>8817</v>
      </c>
      <c r="AX10" s="47">
        <v>7941</v>
      </c>
      <c r="AY10" s="49">
        <v>16758</v>
      </c>
      <c r="AZ10" s="41">
        <v>19146.857</v>
      </c>
      <c r="BA10" s="46"/>
      <c r="BB10" s="47"/>
      <c r="BC10" s="48">
        <v>0</v>
      </c>
      <c r="BD10" s="41">
        <v>18203.667000000001</v>
      </c>
      <c r="BE10" s="46">
        <v>8660</v>
      </c>
      <c r="BF10" s="47">
        <v>7447</v>
      </c>
      <c r="BG10" s="48">
        <v>16107</v>
      </c>
      <c r="BH10" s="41">
        <v>19883.667000000001</v>
      </c>
      <c r="BI10" s="46"/>
      <c r="BJ10" s="47"/>
      <c r="BK10" s="49"/>
      <c r="BL10" s="41">
        <v>32734.050000000003</v>
      </c>
      <c r="BM10" s="46">
        <v>15334.924000000001</v>
      </c>
      <c r="BN10" s="47">
        <v>13627.937</v>
      </c>
      <c r="BO10" s="48">
        <v>28962.861000000001</v>
      </c>
      <c r="BP10" s="41">
        <v>32734.050000000003</v>
      </c>
      <c r="BQ10" s="46">
        <v>13603.849000000002</v>
      </c>
      <c r="BR10" s="47">
        <v>13544.665000000001</v>
      </c>
      <c r="BS10" s="48">
        <v>27148.514000000003</v>
      </c>
      <c r="BT10" s="41">
        <v>30918.138999999996</v>
      </c>
      <c r="BU10" s="46"/>
      <c r="BV10" s="47"/>
      <c r="BW10" s="48">
        <v>0</v>
      </c>
      <c r="BX10" s="41">
        <v>29658.508999999998</v>
      </c>
      <c r="BY10" s="46">
        <v>13456.791000000001</v>
      </c>
      <c r="BZ10" s="47">
        <v>13635.141</v>
      </c>
      <c r="CA10" s="48">
        <v>27091.932000000001</v>
      </c>
      <c r="CB10" s="41">
        <v>32734.050000000003</v>
      </c>
      <c r="CC10" s="46"/>
      <c r="CD10" s="47"/>
      <c r="CE10" s="48"/>
      <c r="CF10" s="41">
        <v>26938.349000000002</v>
      </c>
      <c r="CG10" s="46">
        <v>10365.67</v>
      </c>
      <c r="CH10" s="47">
        <v>9838.0640000000003</v>
      </c>
      <c r="CI10" s="48">
        <v>20203.734</v>
      </c>
      <c r="CJ10" s="41">
        <v>24805.870999999999</v>
      </c>
      <c r="CK10" s="46">
        <v>9782.0840000000007</v>
      </c>
      <c r="CL10" s="47">
        <v>10330.288000000002</v>
      </c>
      <c r="CM10" s="48">
        <v>20112.372000000003</v>
      </c>
      <c r="CN10" s="41">
        <v>22941.848000000002</v>
      </c>
      <c r="CO10" s="46"/>
      <c r="CP10" s="47"/>
      <c r="CQ10" s="48">
        <v>0</v>
      </c>
      <c r="CR10" s="41">
        <v>21288.136999999999</v>
      </c>
      <c r="CS10" s="46">
        <v>8965.9840000000004</v>
      </c>
      <c r="CT10" s="47">
        <v>8895.8279999999977</v>
      </c>
      <c r="CU10" s="48">
        <v>17861.811999999998</v>
      </c>
      <c r="CV10" s="41">
        <v>24805.870999999999</v>
      </c>
      <c r="CW10" s="46"/>
      <c r="CX10" s="47"/>
      <c r="CY10" s="48"/>
      <c r="CZ10" s="41">
        <v>27733.038</v>
      </c>
      <c r="DA10" s="46">
        <v>13121.49</v>
      </c>
      <c r="DB10" s="47">
        <v>13103.072999999999</v>
      </c>
      <c r="DC10" s="49">
        <v>26224.562999999998</v>
      </c>
      <c r="DD10" s="41">
        <v>27733.038</v>
      </c>
      <c r="DE10" s="46">
        <v>12743.746999999999</v>
      </c>
      <c r="DF10" s="47">
        <v>12158.178</v>
      </c>
      <c r="DG10" s="48">
        <v>24901.924999999999</v>
      </c>
      <c r="DH10" s="41">
        <v>27192.629000000001</v>
      </c>
      <c r="DI10" s="46"/>
      <c r="DJ10" s="47"/>
      <c r="DK10" s="48">
        <v>0</v>
      </c>
      <c r="DL10" s="41">
        <v>27192.629000000001</v>
      </c>
      <c r="DM10" s="46">
        <v>12635.255000000001</v>
      </c>
      <c r="DN10" s="47">
        <v>12388.443000000003</v>
      </c>
      <c r="DO10" s="48">
        <v>25023.698000000004</v>
      </c>
      <c r="DP10" s="41">
        <f>DD10</f>
        <v>27733.038</v>
      </c>
      <c r="DQ10" s="46"/>
      <c r="DR10" s="47"/>
      <c r="DS10" s="49"/>
      <c r="DT10" s="121"/>
    </row>
    <row r="11" spans="1:124" s="25" customFormat="1" ht="35.25" customHeight="1" x14ac:dyDescent="0.2">
      <c r="A11" s="50" t="s">
        <v>12</v>
      </c>
      <c r="B11" s="51" t="s">
        <v>98</v>
      </c>
      <c r="C11" s="45" t="s">
        <v>96</v>
      </c>
      <c r="D11" s="52">
        <v>1187400</v>
      </c>
      <c r="E11" s="161">
        <v>555336</v>
      </c>
      <c r="F11" s="162">
        <v>513763</v>
      </c>
      <c r="G11" s="163">
        <f>E11+F11</f>
        <v>1069099</v>
      </c>
      <c r="H11" s="52">
        <f>D11</f>
        <v>1187400</v>
      </c>
      <c r="I11" s="53">
        <v>564074</v>
      </c>
      <c r="J11" s="54">
        <v>486134</v>
      </c>
      <c r="K11" s="55">
        <f>I11+J11</f>
        <v>1050208</v>
      </c>
      <c r="L11" s="52">
        <v>1130000</v>
      </c>
      <c r="M11" s="53"/>
      <c r="N11" s="54"/>
      <c r="O11" s="55">
        <f>M11+N11</f>
        <v>0</v>
      </c>
      <c r="P11" s="52">
        <v>1080238.6669999999</v>
      </c>
      <c r="Q11" s="53">
        <v>569084</v>
      </c>
      <c r="R11" s="54">
        <v>458114</v>
      </c>
      <c r="S11" s="342">
        <v>1027198</v>
      </c>
      <c r="T11" s="52">
        <v>1187400</v>
      </c>
      <c r="U11" s="53"/>
      <c r="V11" s="54"/>
      <c r="W11" s="55"/>
      <c r="X11" s="52"/>
      <c r="Y11" s="53"/>
      <c r="Z11" s="54"/>
      <c r="AA11" s="55"/>
      <c r="AB11" s="52"/>
      <c r="AC11" s="53"/>
      <c r="AD11" s="54"/>
      <c r="AE11" s="55"/>
      <c r="AF11" s="52"/>
      <c r="AG11" s="53"/>
      <c r="AH11" s="54"/>
      <c r="AI11" s="55"/>
      <c r="AJ11" s="52"/>
      <c r="AK11" s="53"/>
      <c r="AL11" s="54"/>
      <c r="AM11" s="55"/>
      <c r="AN11" s="52"/>
      <c r="AO11" s="53"/>
      <c r="AP11" s="54"/>
      <c r="AQ11" s="55"/>
      <c r="AR11" s="52"/>
      <c r="AS11" s="53"/>
      <c r="AT11" s="54"/>
      <c r="AU11" s="56"/>
      <c r="AV11" s="52"/>
      <c r="AW11" s="53"/>
      <c r="AX11" s="54"/>
      <c r="AY11" s="56"/>
      <c r="AZ11" s="52"/>
      <c r="BA11" s="53"/>
      <c r="BB11" s="54"/>
      <c r="BC11" s="55"/>
      <c r="BD11" s="52"/>
      <c r="BE11" s="53"/>
      <c r="BF11" s="54"/>
      <c r="BG11" s="55"/>
      <c r="BH11" s="52"/>
      <c r="BI11" s="53"/>
      <c r="BJ11" s="54"/>
      <c r="BK11" s="56"/>
      <c r="BL11" s="52"/>
      <c r="BM11" s="53"/>
      <c r="BN11" s="54"/>
      <c r="BO11" s="55"/>
      <c r="BP11" s="52"/>
      <c r="BQ11" s="53"/>
      <c r="BR11" s="54"/>
      <c r="BS11" s="55"/>
      <c r="BT11" s="52"/>
      <c r="BU11" s="53"/>
      <c r="BV11" s="54"/>
      <c r="BW11" s="55"/>
      <c r="BX11" s="52"/>
      <c r="BY11" s="53"/>
      <c r="BZ11" s="54"/>
      <c r="CA11" s="55"/>
      <c r="CB11" s="52"/>
      <c r="CC11" s="53"/>
      <c r="CD11" s="54"/>
      <c r="CE11" s="55"/>
      <c r="CF11" s="52"/>
      <c r="CG11" s="53"/>
      <c r="CH11" s="54"/>
      <c r="CI11" s="55"/>
      <c r="CJ11" s="52"/>
      <c r="CK11" s="53"/>
      <c r="CL11" s="54"/>
      <c r="CM11" s="55"/>
      <c r="CN11" s="52"/>
      <c r="CO11" s="53"/>
      <c r="CP11" s="54"/>
      <c r="CQ11" s="55"/>
      <c r="CR11" s="52"/>
      <c r="CS11" s="53"/>
      <c r="CT11" s="54"/>
      <c r="CU11" s="55"/>
      <c r="CV11" s="52"/>
      <c r="CW11" s="53"/>
      <c r="CX11" s="54"/>
      <c r="CY11" s="55"/>
      <c r="CZ11" s="52"/>
      <c r="DA11" s="53"/>
      <c r="DB11" s="54"/>
      <c r="DC11" s="56"/>
      <c r="DD11" s="52"/>
      <c r="DE11" s="53"/>
      <c r="DF11" s="54"/>
      <c r="DG11" s="55">
        <v>0</v>
      </c>
      <c r="DH11" s="52">
        <v>0</v>
      </c>
      <c r="DI11" s="53"/>
      <c r="DJ11" s="54"/>
      <c r="DK11" s="55">
        <v>0</v>
      </c>
      <c r="DL11" s="52">
        <v>0</v>
      </c>
      <c r="DM11" s="53"/>
      <c r="DN11" s="54"/>
      <c r="DO11" s="55">
        <v>0</v>
      </c>
      <c r="DP11" s="52">
        <f>CZ11</f>
        <v>0</v>
      </c>
      <c r="DQ11" s="53"/>
      <c r="DR11" s="54"/>
      <c r="DS11" s="56"/>
      <c r="DT11" s="121"/>
    </row>
    <row r="12" spans="1:124" s="25" customFormat="1" ht="18.75" customHeight="1" x14ac:dyDescent="0.2">
      <c r="A12" s="43" t="s">
        <v>20</v>
      </c>
      <c r="B12" s="57" t="s">
        <v>99</v>
      </c>
      <c r="C12" s="45" t="s">
        <v>96</v>
      </c>
      <c r="D12" s="41">
        <v>51513.014000000003</v>
      </c>
      <c r="E12" s="158">
        <v>20801.151999999998</v>
      </c>
      <c r="F12" s="159">
        <v>24900.144000000004</v>
      </c>
      <c r="G12" s="160">
        <f>E12+F12</f>
        <v>45701.296000000002</v>
      </c>
      <c r="H12" s="41">
        <f>D12</f>
        <v>51513.014000000003</v>
      </c>
      <c r="I12" s="46">
        <v>24075.128000000004</v>
      </c>
      <c r="J12" s="47">
        <v>17745.654999999999</v>
      </c>
      <c r="K12" s="48">
        <f>I12+J12</f>
        <v>41820.783000000003</v>
      </c>
      <c r="L12" s="41">
        <v>45889.855000000003</v>
      </c>
      <c r="M12" s="46"/>
      <c r="N12" s="47"/>
      <c r="O12" s="48">
        <f>M12+N12</f>
        <v>0</v>
      </c>
      <c r="P12" s="41">
        <v>43887.639000000003</v>
      </c>
      <c r="Q12" s="46">
        <v>31306.595999999998</v>
      </c>
      <c r="R12" s="47">
        <v>18815.349000000002</v>
      </c>
      <c r="S12" s="48">
        <v>50121.945</v>
      </c>
      <c r="T12" s="41">
        <v>51513.014000000003</v>
      </c>
      <c r="U12" s="46"/>
      <c r="V12" s="47"/>
      <c r="W12" s="48"/>
      <c r="X12" s="41">
        <v>1703.2719999999999</v>
      </c>
      <c r="Y12" s="46">
        <v>542</v>
      </c>
      <c r="Z12" s="47">
        <v>1290</v>
      </c>
      <c r="AA12" s="48">
        <v>1832</v>
      </c>
      <c r="AB12" s="41">
        <v>1703.2719999999999</v>
      </c>
      <c r="AC12" s="46">
        <v>970</v>
      </c>
      <c r="AD12" s="47">
        <v>1180</v>
      </c>
      <c r="AE12" s="48">
        <v>2150</v>
      </c>
      <c r="AF12" s="41">
        <v>1805.0909999999999</v>
      </c>
      <c r="AG12" s="46"/>
      <c r="AH12" s="47"/>
      <c r="AI12" s="48">
        <v>0</v>
      </c>
      <c r="AJ12" s="41">
        <v>1954</v>
      </c>
      <c r="AK12" s="46">
        <v>320</v>
      </c>
      <c r="AL12" s="47">
        <v>580</v>
      </c>
      <c r="AM12" s="48">
        <v>900</v>
      </c>
      <c r="AN12" s="41">
        <v>1703.2719999999999</v>
      </c>
      <c r="AO12" s="46"/>
      <c r="AP12" s="47"/>
      <c r="AQ12" s="48"/>
      <c r="AR12" s="41">
        <v>199.333</v>
      </c>
      <c r="AS12" s="46">
        <v>95.317999999999998</v>
      </c>
      <c r="AT12" s="47">
        <v>86.551000000000002</v>
      </c>
      <c r="AU12" s="49">
        <v>181.869</v>
      </c>
      <c r="AV12" s="41">
        <v>199.333</v>
      </c>
      <c r="AW12" s="46">
        <v>88.325999999999993</v>
      </c>
      <c r="AX12" s="47">
        <v>79.766999999999996</v>
      </c>
      <c r="AY12" s="49">
        <v>168.09299999999999</v>
      </c>
      <c r="AZ12" s="41">
        <v>195.29</v>
      </c>
      <c r="BA12" s="46"/>
      <c r="BB12" s="47"/>
      <c r="BC12" s="48">
        <v>0</v>
      </c>
      <c r="BD12" s="41">
        <v>180.321</v>
      </c>
      <c r="BE12" s="46">
        <v>87.924999999999997</v>
      </c>
      <c r="BF12" s="47">
        <v>75.245999999999995</v>
      </c>
      <c r="BG12" s="48">
        <v>163.17099999999999</v>
      </c>
      <c r="BH12" s="41">
        <v>199.333</v>
      </c>
      <c r="BI12" s="46"/>
      <c r="BJ12" s="47"/>
      <c r="BK12" s="49"/>
      <c r="BL12" s="41">
        <v>324.10300000000001</v>
      </c>
      <c r="BM12" s="46">
        <v>152.35900000000001</v>
      </c>
      <c r="BN12" s="47">
        <v>135.292</v>
      </c>
      <c r="BO12" s="48">
        <v>287.65100000000001</v>
      </c>
      <c r="BP12" s="41">
        <v>324.10300000000001</v>
      </c>
      <c r="BQ12" s="46">
        <v>136.03700000000001</v>
      </c>
      <c r="BR12" s="47">
        <v>135.44600000000005</v>
      </c>
      <c r="BS12" s="48">
        <v>271.48300000000006</v>
      </c>
      <c r="BT12" s="41">
        <v>307.31</v>
      </c>
      <c r="BU12" s="46"/>
      <c r="BV12" s="47"/>
      <c r="BW12" s="48">
        <v>0</v>
      </c>
      <c r="BX12" s="41">
        <v>295.28300000000002</v>
      </c>
      <c r="BY12" s="46">
        <v>134.56799999999998</v>
      </c>
      <c r="BZ12" s="47">
        <v>136.351</v>
      </c>
      <c r="CA12" s="48">
        <v>270.91899999999998</v>
      </c>
      <c r="CB12" s="41">
        <v>324.10300000000001</v>
      </c>
      <c r="CC12" s="46"/>
      <c r="CD12" s="47"/>
      <c r="CE12" s="48"/>
      <c r="CF12" s="41">
        <v>261.74700000000001</v>
      </c>
      <c r="CG12" s="46">
        <v>100.64</v>
      </c>
      <c r="CH12" s="47">
        <v>94.58</v>
      </c>
      <c r="CI12" s="48">
        <v>195.22</v>
      </c>
      <c r="CJ12" s="41">
        <v>242.64999999999998</v>
      </c>
      <c r="CK12" s="46">
        <v>96.86</v>
      </c>
      <c r="CL12" s="47">
        <v>102.3</v>
      </c>
      <c r="CM12" s="48">
        <v>199.16</v>
      </c>
      <c r="CN12" s="41">
        <v>222.56</v>
      </c>
      <c r="CO12" s="46"/>
      <c r="CP12" s="47"/>
      <c r="CQ12" s="48">
        <v>0</v>
      </c>
      <c r="CR12" s="41">
        <v>207.62299999999999</v>
      </c>
      <c r="CS12" s="46">
        <v>88.77</v>
      </c>
      <c r="CT12" s="47">
        <v>88.08</v>
      </c>
      <c r="CU12" s="48">
        <v>176.85</v>
      </c>
      <c r="CV12" s="41">
        <v>242.64999999999998</v>
      </c>
      <c r="CW12" s="46"/>
      <c r="CX12" s="47"/>
      <c r="CY12" s="48"/>
      <c r="CZ12" s="41">
        <v>257.267</v>
      </c>
      <c r="DA12" s="46">
        <v>109.51900000000001</v>
      </c>
      <c r="DB12" s="47">
        <v>117.928</v>
      </c>
      <c r="DC12" s="49">
        <v>227.447</v>
      </c>
      <c r="DD12" s="41">
        <v>257.267</v>
      </c>
      <c r="DE12" s="46">
        <v>114.69399999999999</v>
      </c>
      <c r="DF12" s="47">
        <v>109.42400000000001</v>
      </c>
      <c r="DG12" s="48">
        <v>224.11799999999999</v>
      </c>
      <c r="DH12" s="41">
        <v>223.417</v>
      </c>
      <c r="DI12" s="46"/>
      <c r="DJ12" s="47"/>
      <c r="DK12" s="48">
        <v>0</v>
      </c>
      <c r="DL12" s="41">
        <v>223.417</v>
      </c>
      <c r="DM12" s="46">
        <v>113.71799999999999</v>
      </c>
      <c r="DN12" s="47">
        <v>111.49600000000004</v>
      </c>
      <c r="DO12" s="48">
        <v>225.21400000000003</v>
      </c>
      <c r="DP12" s="41">
        <f>DD12</f>
        <v>257.267</v>
      </c>
      <c r="DQ12" s="46"/>
      <c r="DR12" s="47"/>
      <c r="DS12" s="49"/>
      <c r="DT12" s="121"/>
    </row>
    <row r="13" spans="1:124" s="61" customFormat="1" ht="28.5" x14ac:dyDescent="0.2">
      <c r="A13" s="50" t="s">
        <v>42</v>
      </c>
      <c r="B13" s="51" t="s">
        <v>100</v>
      </c>
      <c r="C13" s="58" t="s">
        <v>96</v>
      </c>
      <c r="D13" s="52">
        <f t="shared" ref="D13:K13" si="7">D8+D11-D12</f>
        <v>1135886.986</v>
      </c>
      <c r="E13" s="161">
        <f t="shared" si="7"/>
        <v>534534.848</v>
      </c>
      <c r="F13" s="162">
        <f t="shared" si="7"/>
        <v>488862.85599999997</v>
      </c>
      <c r="G13" s="164">
        <f t="shared" si="7"/>
        <v>1023397.704</v>
      </c>
      <c r="H13" s="52">
        <f t="shared" si="7"/>
        <v>1135886.986</v>
      </c>
      <c r="I13" s="53">
        <f t="shared" si="7"/>
        <v>539998.87199999997</v>
      </c>
      <c r="J13" s="54">
        <f t="shared" si="7"/>
        <v>468388.34499999997</v>
      </c>
      <c r="K13" s="59">
        <f t="shared" si="7"/>
        <v>1008387.2169999999</v>
      </c>
      <c r="L13" s="52">
        <f t="shared" ref="L13:O13" si="8">L8+L11-L12</f>
        <v>1084110.145</v>
      </c>
      <c r="M13" s="53">
        <f t="shared" si="8"/>
        <v>0</v>
      </c>
      <c r="N13" s="54">
        <f t="shared" si="8"/>
        <v>0</v>
      </c>
      <c r="O13" s="59">
        <f t="shared" si="8"/>
        <v>0</v>
      </c>
      <c r="P13" s="52">
        <v>1036351.0279999999</v>
      </c>
      <c r="Q13" s="53">
        <v>537777.40399999998</v>
      </c>
      <c r="R13" s="54">
        <v>439298.65100000001</v>
      </c>
      <c r="S13" s="59">
        <v>977076.05500000005</v>
      </c>
      <c r="T13" s="52">
        <v>1135886.986</v>
      </c>
      <c r="U13" s="53">
        <v>0</v>
      </c>
      <c r="V13" s="54">
        <v>0</v>
      </c>
      <c r="W13" s="59">
        <v>0</v>
      </c>
      <c r="X13" s="52">
        <v>39621.686999999998</v>
      </c>
      <c r="Y13" s="53">
        <v>17691.813999999998</v>
      </c>
      <c r="Z13" s="54">
        <v>16903.099000000002</v>
      </c>
      <c r="AA13" s="59">
        <v>34594.913</v>
      </c>
      <c r="AB13" s="52">
        <v>39621.686999999998</v>
      </c>
      <c r="AC13" s="53">
        <v>14879.022999999999</v>
      </c>
      <c r="AD13" s="54">
        <v>13932.44</v>
      </c>
      <c r="AE13" s="59">
        <v>28811.463</v>
      </c>
      <c r="AF13" s="52">
        <v>37474.197</v>
      </c>
      <c r="AG13" s="53">
        <v>0</v>
      </c>
      <c r="AH13" s="54">
        <v>0</v>
      </c>
      <c r="AI13" s="59">
        <v>0</v>
      </c>
      <c r="AJ13" s="52">
        <v>33573.972000000002</v>
      </c>
      <c r="AK13" s="53">
        <v>14507.508999999998</v>
      </c>
      <c r="AL13" s="54">
        <v>13344.32986419963</v>
      </c>
      <c r="AM13" s="59">
        <v>27851.838864199628</v>
      </c>
      <c r="AN13" s="52">
        <v>39621.686999999998</v>
      </c>
      <c r="AO13" s="53">
        <v>0</v>
      </c>
      <c r="AP13" s="54">
        <v>0</v>
      </c>
      <c r="AQ13" s="59">
        <v>0</v>
      </c>
      <c r="AR13" s="52">
        <v>19684.334000000003</v>
      </c>
      <c r="AS13" s="53">
        <v>9634.6820000000007</v>
      </c>
      <c r="AT13" s="54">
        <v>8604.4490000000005</v>
      </c>
      <c r="AU13" s="60">
        <v>18239.131000000001</v>
      </c>
      <c r="AV13" s="52">
        <v>19684.334000000003</v>
      </c>
      <c r="AW13" s="53">
        <v>8728.6740000000009</v>
      </c>
      <c r="AX13" s="54">
        <v>7861.2330000000002</v>
      </c>
      <c r="AY13" s="60">
        <v>16589.906999999999</v>
      </c>
      <c r="AZ13" s="52">
        <v>18951.566999999999</v>
      </c>
      <c r="BA13" s="53">
        <v>0</v>
      </c>
      <c r="BB13" s="54">
        <v>0</v>
      </c>
      <c r="BC13" s="59">
        <v>0</v>
      </c>
      <c r="BD13" s="52">
        <v>18023.346000000001</v>
      </c>
      <c r="BE13" s="53">
        <v>8572.0750000000007</v>
      </c>
      <c r="BF13" s="54">
        <v>7371.7539999999999</v>
      </c>
      <c r="BG13" s="59">
        <v>15943.829</v>
      </c>
      <c r="BH13" s="52">
        <v>19684.334000000003</v>
      </c>
      <c r="BI13" s="53">
        <v>0</v>
      </c>
      <c r="BJ13" s="54">
        <v>0</v>
      </c>
      <c r="BK13" s="60">
        <v>0</v>
      </c>
      <c r="BL13" s="52">
        <v>32409.947000000004</v>
      </c>
      <c r="BM13" s="53">
        <v>15182.565000000001</v>
      </c>
      <c r="BN13" s="54">
        <v>13492.645</v>
      </c>
      <c r="BO13" s="59">
        <v>28675.21</v>
      </c>
      <c r="BP13" s="52">
        <v>32409.947000000004</v>
      </c>
      <c r="BQ13" s="53">
        <v>13467.812000000002</v>
      </c>
      <c r="BR13" s="54">
        <v>13409.219000000001</v>
      </c>
      <c r="BS13" s="59">
        <v>26877.031000000003</v>
      </c>
      <c r="BT13" s="52">
        <v>30610.828999999994</v>
      </c>
      <c r="BU13" s="53">
        <v>0</v>
      </c>
      <c r="BV13" s="54">
        <v>0</v>
      </c>
      <c r="BW13" s="59">
        <v>0</v>
      </c>
      <c r="BX13" s="52">
        <v>29363.225999999999</v>
      </c>
      <c r="BY13" s="53">
        <v>13322.223000000002</v>
      </c>
      <c r="BZ13" s="54">
        <v>13498.789999999999</v>
      </c>
      <c r="CA13" s="59">
        <v>26821.012999999999</v>
      </c>
      <c r="CB13" s="52">
        <v>32409.947000000004</v>
      </c>
      <c r="CC13" s="53">
        <v>0</v>
      </c>
      <c r="CD13" s="54">
        <v>0</v>
      </c>
      <c r="CE13" s="59">
        <v>0</v>
      </c>
      <c r="CF13" s="52">
        <v>26676.602000000003</v>
      </c>
      <c r="CG13" s="53">
        <v>10265.030000000001</v>
      </c>
      <c r="CH13" s="54">
        <v>9743.4840000000004</v>
      </c>
      <c r="CI13" s="59">
        <v>20008.513999999999</v>
      </c>
      <c r="CJ13" s="52">
        <v>24563.220999999998</v>
      </c>
      <c r="CK13" s="53">
        <v>9685.2240000000002</v>
      </c>
      <c r="CL13" s="54">
        <v>10227.988000000003</v>
      </c>
      <c r="CM13" s="59">
        <v>19913.212000000003</v>
      </c>
      <c r="CN13" s="52">
        <v>22719.288</v>
      </c>
      <c r="CO13" s="53">
        <v>0</v>
      </c>
      <c r="CP13" s="54">
        <v>0</v>
      </c>
      <c r="CQ13" s="59">
        <v>0</v>
      </c>
      <c r="CR13" s="52">
        <v>21080.513999999999</v>
      </c>
      <c r="CS13" s="53">
        <v>8877.2139999999999</v>
      </c>
      <c r="CT13" s="54">
        <v>8807.7479999999978</v>
      </c>
      <c r="CU13" s="59">
        <v>17684.962</v>
      </c>
      <c r="CV13" s="52">
        <v>24563.220999999998</v>
      </c>
      <c r="CW13" s="53">
        <v>0</v>
      </c>
      <c r="CX13" s="54">
        <v>0</v>
      </c>
      <c r="CY13" s="59">
        <v>0</v>
      </c>
      <c r="CZ13" s="52">
        <v>27475.771000000001</v>
      </c>
      <c r="DA13" s="53">
        <v>13011.971</v>
      </c>
      <c r="DB13" s="54">
        <v>12985.144999999999</v>
      </c>
      <c r="DC13" s="60">
        <v>25997.115999999998</v>
      </c>
      <c r="DD13" s="52">
        <v>27475.771000000001</v>
      </c>
      <c r="DE13" s="53">
        <v>12629.053</v>
      </c>
      <c r="DF13" s="54">
        <v>12048.753999999999</v>
      </c>
      <c r="DG13" s="59">
        <v>24677.807000000001</v>
      </c>
      <c r="DH13" s="52">
        <v>26969.212</v>
      </c>
      <c r="DI13" s="53">
        <v>0</v>
      </c>
      <c r="DJ13" s="54">
        <v>0</v>
      </c>
      <c r="DK13" s="59">
        <v>0</v>
      </c>
      <c r="DL13" s="52">
        <v>26969.212</v>
      </c>
      <c r="DM13" s="53">
        <v>12521.537</v>
      </c>
      <c r="DN13" s="54">
        <v>12276.947000000004</v>
      </c>
      <c r="DO13" s="59">
        <v>24798.484000000004</v>
      </c>
      <c r="DP13" s="52">
        <f t="shared" ref="DP13:DS13" si="9">DP8+DP11-DP12</f>
        <v>27475.771000000001</v>
      </c>
      <c r="DQ13" s="53">
        <f t="shared" si="9"/>
        <v>0</v>
      </c>
      <c r="DR13" s="54">
        <f t="shared" si="9"/>
        <v>0</v>
      </c>
      <c r="DS13" s="60">
        <f t="shared" si="9"/>
        <v>0</v>
      </c>
      <c r="DT13" s="122"/>
    </row>
    <row r="14" spans="1:124" s="25" customFormat="1" ht="15" x14ac:dyDescent="0.2">
      <c r="A14" s="43" t="s">
        <v>44</v>
      </c>
      <c r="B14" s="57" t="s">
        <v>101</v>
      </c>
      <c r="C14" s="45" t="s">
        <v>96</v>
      </c>
      <c r="D14" s="41">
        <f>D15+D16</f>
        <v>71739.885000000009</v>
      </c>
      <c r="E14" s="158">
        <f>E15+E16</f>
        <v>46516.398000000001</v>
      </c>
      <c r="F14" s="159">
        <f>F15+F16</f>
        <v>63654.678</v>
      </c>
      <c r="G14" s="160">
        <f t="shared" ref="G14:J14" si="10">G15+G16</f>
        <v>110171.076</v>
      </c>
      <c r="H14" s="41">
        <f t="shared" si="10"/>
        <v>71739.885000000009</v>
      </c>
      <c r="I14" s="46">
        <f t="shared" si="10"/>
        <v>70463.898000000001</v>
      </c>
      <c r="J14" s="47">
        <f t="shared" si="10"/>
        <v>51517.307000000015</v>
      </c>
      <c r="K14" s="48">
        <f>K15+K16</f>
        <v>121981.20500000002</v>
      </c>
      <c r="L14" s="41">
        <f>L15+L16</f>
        <v>68469.785000000003</v>
      </c>
      <c r="M14" s="46"/>
      <c r="N14" s="47"/>
      <c r="O14" s="48">
        <f>O15+O16</f>
        <v>0</v>
      </c>
      <c r="P14" s="41">
        <v>65453.434000000001</v>
      </c>
      <c r="Q14" s="46">
        <v>51411.335000000006</v>
      </c>
      <c r="R14" s="47">
        <v>27496.183000000005</v>
      </c>
      <c r="S14" s="48">
        <v>78907.518000000011</v>
      </c>
      <c r="T14" s="41">
        <v>71739.885000000009</v>
      </c>
      <c r="U14" s="46">
        <v>0</v>
      </c>
      <c r="V14" s="47">
        <v>0</v>
      </c>
      <c r="W14" s="48">
        <v>0</v>
      </c>
      <c r="X14" s="41">
        <v>1083.5840000000001</v>
      </c>
      <c r="Y14" s="46">
        <v>474</v>
      </c>
      <c r="Z14" s="47">
        <v>457</v>
      </c>
      <c r="AA14" s="48">
        <v>931</v>
      </c>
      <c r="AB14" s="41">
        <v>1083.5840000000001</v>
      </c>
      <c r="AC14" s="46">
        <v>402</v>
      </c>
      <c r="AD14" s="47">
        <v>376</v>
      </c>
      <c r="AE14" s="48">
        <v>778</v>
      </c>
      <c r="AF14" s="41">
        <v>1024.854</v>
      </c>
      <c r="AG14" s="46">
        <v>0</v>
      </c>
      <c r="AH14" s="47">
        <v>0</v>
      </c>
      <c r="AI14" s="48">
        <v>0</v>
      </c>
      <c r="AJ14" s="41">
        <v>918.19</v>
      </c>
      <c r="AK14" s="46">
        <v>392</v>
      </c>
      <c r="AL14" s="47">
        <v>360</v>
      </c>
      <c r="AM14" s="48">
        <v>752</v>
      </c>
      <c r="AN14" s="41">
        <v>1083.5840000000001</v>
      </c>
      <c r="AO14" s="46">
        <v>0</v>
      </c>
      <c r="AP14" s="47">
        <v>0</v>
      </c>
      <c r="AQ14" s="48">
        <v>0</v>
      </c>
      <c r="AR14" s="41">
        <v>166.464</v>
      </c>
      <c r="AS14" s="46">
        <v>84.885999999999996</v>
      </c>
      <c r="AT14" s="47">
        <v>68.835999999999999</v>
      </c>
      <c r="AU14" s="49">
        <v>153.72199999999998</v>
      </c>
      <c r="AV14" s="41">
        <v>166.464</v>
      </c>
      <c r="AW14" s="46">
        <v>69.83</v>
      </c>
      <c r="AX14" s="47">
        <v>62.89</v>
      </c>
      <c r="AY14" s="49">
        <v>132.72</v>
      </c>
      <c r="AZ14" s="41">
        <v>160.267</v>
      </c>
      <c r="BA14" s="46">
        <v>0</v>
      </c>
      <c r="BB14" s="47">
        <v>0</v>
      </c>
      <c r="BC14" s="48">
        <v>0</v>
      </c>
      <c r="BD14" s="41">
        <v>152.41800000000001</v>
      </c>
      <c r="BE14" s="46">
        <v>68.578000000000003</v>
      </c>
      <c r="BF14" s="47">
        <v>58.971999999999994</v>
      </c>
      <c r="BG14" s="48">
        <v>127.55</v>
      </c>
      <c r="BH14" s="41">
        <v>166.464</v>
      </c>
      <c r="BI14" s="46">
        <v>0</v>
      </c>
      <c r="BJ14" s="47">
        <v>0</v>
      </c>
      <c r="BK14" s="49">
        <v>0</v>
      </c>
      <c r="BL14" s="41">
        <v>609.029</v>
      </c>
      <c r="BM14" s="46">
        <v>286.303</v>
      </c>
      <c r="BN14" s="47">
        <v>254.48400000000004</v>
      </c>
      <c r="BO14" s="48">
        <v>540.78700000000003</v>
      </c>
      <c r="BP14" s="41">
        <v>609.029</v>
      </c>
      <c r="BQ14" s="46">
        <v>255.88900000000001</v>
      </c>
      <c r="BR14" s="47">
        <v>254.77500000000001</v>
      </c>
      <c r="BS14" s="48">
        <v>510.66399999999999</v>
      </c>
      <c r="BT14" s="41">
        <v>575.221</v>
      </c>
      <c r="BU14" s="46">
        <v>0</v>
      </c>
      <c r="BV14" s="47">
        <v>0</v>
      </c>
      <c r="BW14" s="48">
        <v>0</v>
      </c>
      <c r="BX14" s="41">
        <v>551.77700000000004</v>
      </c>
      <c r="BY14" s="46">
        <v>254.48000000000002</v>
      </c>
      <c r="BZ14" s="47">
        <v>256.47699999999998</v>
      </c>
      <c r="CA14" s="48">
        <v>510.95699999999999</v>
      </c>
      <c r="CB14" s="41">
        <v>609.029</v>
      </c>
      <c r="CC14" s="46">
        <v>0</v>
      </c>
      <c r="CD14" s="47">
        <v>0</v>
      </c>
      <c r="CE14" s="48">
        <v>0</v>
      </c>
      <c r="CF14" s="41">
        <v>386.81299999999999</v>
      </c>
      <c r="CG14" s="46">
        <v>148.72</v>
      </c>
      <c r="CH14" s="47">
        <v>139.78</v>
      </c>
      <c r="CI14" s="48">
        <v>288.5</v>
      </c>
      <c r="CJ14" s="41">
        <v>356.16700000000003</v>
      </c>
      <c r="CK14" s="46">
        <v>143.12</v>
      </c>
      <c r="CL14" s="47">
        <v>151.15</v>
      </c>
      <c r="CM14" s="48">
        <v>294.27</v>
      </c>
      <c r="CN14" s="41">
        <v>329.43</v>
      </c>
      <c r="CO14" s="46">
        <v>0</v>
      </c>
      <c r="CP14" s="47">
        <v>0</v>
      </c>
      <c r="CQ14" s="48">
        <v>0</v>
      </c>
      <c r="CR14" s="41">
        <v>305.66899999999998</v>
      </c>
      <c r="CS14" s="46">
        <v>131.19</v>
      </c>
      <c r="CT14" s="47">
        <v>130.17000000000002</v>
      </c>
      <c r="CU14" s="48">
        <v>261.36</v>
      </c>
      <c r="CV14" s="41">
        <v>356.16700000000003</v>
      </c>
      <c r="CW14" s="46">
        <v>0</v>
      </c>
      <c r="CX14" s="47">
        <v>0</v>
      </c>
      <c r="CY14" s="48">
        <v>0</v>
      </c>
      <c r="CZ14" s="41">
        <v>660.298</v>
      </c>
      <c r="DA14" s="46">
        <v>312.28800000000001</v>
      </c>
      <c r="DB14" s="47">
        <v>311.64400000000001</v>
      </c>
      <c r="DC14" s="49">
        <v>623.93200000000002</v>
      </c>
      <c r="DD14" s="41">
        <v>660.298</v>
      </c>
      <c r="DE14" s="46">
        <v>303.09699999999998</v>
      </c>
      <c r="DF14" s="47">
        <v>289.17</v>
      </c>
      <c r="DG14" s="48">
        <v>592.26700000000005</v>
      </c>
      <c r="DH14" s="41">
        <v>648.12400000000002</v>
      </c>
      <c r="DI14" s="46">
        <v>0</v>
      </c>
      <c r="DJ14" s="47">
        <v>0</v>
      </c>
      <c r="DK14" s="48">
        <v>0</v>
      </c>
      <c r="DL14" s="41">
        <v>648.12400000000002</v>
      </c>
      <c r="DM14" s="46">
        <v>300.517</v>
      </c>
      <c r="DN14" s="47">
        <v>294.64699999999999</v>
      </c>
      <c r="DO14" s="48">
        <v>595.16399999999999</v>
      </c>
      <c r="DP14" s="41">
        <f t="shared" ref="DP14:DS14" si="11">DP15+DP16</f>
        <v>660.298</v>
      </c>
      <c r="DQ14" s="46">
        <f t="shared" si="11"/>
        <v>0</v>
      </c>
      <c r="DR14" s="47">
        <f t="shared" si="11"/>
        <v>0</v>
      </c>
      <c r="DS14" s="49">
        <f t="shared" si="11"/>
        <v>0</v>
      </c>
      <c r="DT14" s="121"/>
    </row>
    <row r="15" spans="1:124" s="25" customFormat="1" ht="18" customHeight="1" x14ac:dyDescent="0.2">
      <c r="A15" s="62" t="s">
        <v>102</v>
      </c>
      <c r="B15" s="63" t="s">
        <v>103</v>
      </c>
      <c r="C15" s="64" t="s">
        <v>96</v>
      </c>
      <c r="D15" s="65">
        <v>71739.885000000009</v>
      </c>
      <c r="E15" s="165">
        <v>46516.398000000001</v>
      </c>
      <c r="F15" s="166">
        <v>63654.678</v>
      </c>
      <c r="G15" s="160">
        <f>E15+F15</f>
        <v>110171.076</v>
      </c>
      <c r="H15" s="41">
        <f>D15</f>
        <v>71739.885000000009</v>
      </c>
      <c r="I15" s="66">
        <v>70463.898000000001</v>
      </c>
      <c r="J15" s="67">
        <v>51517.307000000015</v>
      </c>
      <c r="K15" s="48">
        <f>I15+J15</f>
        <v>121981.20500000002</v>
      </c>
      <c r="L15" s="41">
        <v>68469.785000000003</v>
      </c>
      <c r="M15" s="66"/>
      <c r="N15" s="67"/>
      <c r="O15" s="48">
        <f>M15+N15</f>
        <v>0</v>
      </c>
      <c r="P15" s="41">
        <v>65453.434000000001</v>
      </c>
      <c r="Q15" s="66">
        <v>51411.335000000006</v>
      </c>
      <c r="R15" s="67">
        <v>27496.183000000005</v>
      </c>
      <c r="S15" s="48">
        <v>78907.518000000011</v>
      </c>
      <c r="T15" s="41">
        <v>71739.885000000009</v>
      </c>
      <c r="U15" s="66"/>
      <c r="V15" s="67"/>
      <c r="W15" s="48"/>
      <c r="X15" s="65">
        <v>1083.5840000000001</v>
      </c>
      <c r="Y15" s="66">
        <v>474</v>
      </c>
      <c r="Z15" s="67">
        <v>457</v>
      </c>
      <c r="AA15" s="48">
        <v>931</v>
      </c>
      <c r="AB15" s="41">
        <v>1083.5840000000001</v>
      </c>
      <c r="AC15" s="66">
        <v>402</v>
      </c>
      <c r="AD15" s="67">
        <v>376</v>
      </c>
      <c r="AE15" s="48">
        <v>778</v>
      </c>
      <c r="AF15" s="41">
        <v>1024.854</v>
      </c>
      <c r="AG15" s="66"/>
      <c r="AH15" s="67"/>
      <c r="AI15" s="48">
        <v>0</v>
      </c>
      <c r="AJ15" s="41">
        <v>918.19</v>
      </c>
      <c r="AK15" s="66">
        <v>392</v>
      </c>
      <c r="AL15" s="67">
        <v>360</v>
      </c>
      <c r="AM15" s="48">
        <v>752</v>
      </c>
      <c r="AN15" s="41">
        <v>1083.5840000000001</v>
      </c>
      <c r="AO15" s="66"/>
      <c r="AP15" s="67"/>
      <c r="AQ15" s="48"/>
      <c r="AR15" s="41">
        <v>166.464</v>
      </c>
      <c r="AS15" s="66">
        <v>84.885999999999996</v>
      </c>
      <c r="AT15" s="67">
        <v>68.835999999999999</v>
      </c>
      <c r="AU15" s="49">
        <v>153.72199999999998</v>
      </c>
      <c r="AV15" s="41">
        <v>166.464</v>
      </c>
      <c r="AW15" s="66">
        <v>69.83</v>
      </c>
      <c r="AX15" s="67">
        <v>62.89</v>
      </c>
      <c r="AY15" s="49">
        <v>132.72</v>
      </c>
      <c r="AZ15" s="41">
        <v>160.267</v>
      </c>
      <c r="BA15" s="66"/>
      <c r="BB15" s="67"/>
      <c r="BC15" s="48">
        <v>0</v>
      </c>
      <c r="BD15" s="41">
        <v>152.41800000000001</v>
      </c>
      <c r="BE15" s="66">
        <v>68.578000000000003</v>
      </c>
      <c r="BF15" s="67">
        <v>58.971999999999994</v>
      </c>
      <c r="BG15" s="48">
        <v>127.55</v>
      </c>
      <c r="BH15" s="41">
        <v>166.464</v>
      </c>
      <c r="BI15" s="66"/>
      <c r="BJ15" s="67"/>
      <c r="BK15" s="49"/>
      <c r="BL15" s="41">
        <v>609.029</v>
      </c>
      <c r="BM15" s="66">
        <v>286.303</v>
      </c>
      <c r="BN15" s="67">
        <v>254.48400000000004</v>
      </c>
      <c r="BO15" s="48">
        <v>540.78700000000003</v>
      </c>
      <c r="BP15" s="41">
        <v>609.029</v>
      </c>
      <c r="BQ15" s="66">
        <v>255.88900000000001</v>
      </c>
      <c r="BR15" s="67">
        <v>254.77500000000001</v>
      </c>
      <c r="BS15" s="48">
        <v>510.66399999999999</v>
      </c>
      <c r="BT15" s="41">
        <v>575.221</v>
      </c>
      <c r="BU15" s="66"/>
      <c r="BV15" s="67"/>
      <c r="BW15" s="48">
        <v>0</v>
      </c>
      <c r="BX15" s="41">
        <v>551.77700000000004</v>
      </c>
      <c r="BY15" s="66">
        <v>254.48000000000002</v>
      </c>
      <c r="BZ15" s="67">
        <v>256.47699999999998</v>
      </c>
      <c r="CA15" s="48">
        <v>510.95699999999999</v>
      </c>
      <c r="CB15" s="41">
        <v>609.029</v>
      </c>
      <c r="CC15" s="66"/>
      <c r="CD15" s="67"/>
      <c r="CE15" s="48"/>
      <c r="CF15" s="41">
        <v>386.81299999999999</v>
      </c>
      <c r="CG15" s="66">
        <v>148.72</v>
      </c>
      <c r="CH15" s="67">
        <v>139.78</v>
      </c>
      <c r="CI15" s="48">
        <v>288.5</v>
      </c>
      <c r="CJ15" s="41">
        <v>356.16700000000003</v>
      </c>
      <c r="CK15" s="66">
        <v>143.12</v>
      </c>
      <c r="CL15" s="67">
        <v>151.15</v>
      </c>
      <c r="CM15" s="48">
        <v>294.27</v>
      </c>
      <c r="CN15" s="41">
        <v>329.43</v>
      </c>
      <c r="CO15" s="66"/>
      <c r="CP15" s="67"/>
      <c r="CQ15" s="48">
        <v>0</v>
      </c>
      <c r="CR15" s="41">
        <v>305.66899999999998</v>
      </c>
      <c r="CS15" s="66">
        <v>131.19</v>
      </c>
      <c r="CT15" s="67">
        <v>130.17000000000002</v>
      </c>
      <c r="CU15" s="48">
        <v>261.36</v>
      </c>
      <c r="CV15" s="41">
        <v>356.16700000000003</v>
      </c>
      <c r="CW15" s="66"/>
      <c r="CX15" s="67"/>
      <c r="CY15" s="48"/>
      <c r="CZ15" s="41">
        <v>660.298</v>
      </c>
      <c r="DA15" s="46">
        <v>312.28800000000001</v>
      </c>
      <c r="DB15" s="47">
        <v>311.64400000000001</v>
      </c>
      <c r="DC15" s="49">
        <v>623.93200000000002</v>
      </c>
      <c r="DD15" s="41">
        <v>660.298</v>
      </c>
      <c r="DE15" s="46">
        <v>303.09699999999998</v>
      </c>
      <c r="DF15" s="47">
        <v>289.17</v>
      </c>
      <c r="DG15" s="48">
        <v>592.26700000000005</v>
      </c>
      <c r="DH15" s="41">
        <v>648.12400000000002</v>
      </c>
      <c r="DI15" s="46"/>
      <c r="DJ15" s="47"/>
      <c r="DK15" s="48">
        <v>0</v>
      </c>
      <c r="DL15" s="41">
        <v>648.12400000000002</v>
      </c>
      <c r="DM15" s="46">
        <v>300.517</v>
      </c>
      <c r="DN15" s="47">
        <v>294.64699999999999</v>
      </c>
      <c r="DO15" s="48">
        <v>595.16399999999999</v>
      </c>
      <c r="DP15" s="41">
        <f>DD15</f>
        <v>660.298</v>
      </c>
      <c r="DQ15" s="66"/>
      <c r="DR15" s="67"/>
      <c r="DS15" s="49"/>
      <c r="DT15" s="121"/>
    </row>
    <row r="16" spans="1:124" s="25" customFormat="1" ht="18" customHeight="1" x14ac:dyDescent="0.2">
      <c r="A16" s="43" t="s">
        <v>104</v>
      </c>
      <c r="B16" s="63" t="s">
        <v>105</v>
      </c>
      <c r="C16" s="45" t="s">
        <v>96</v>
      </c>
      <c r="D16" s="41"/>
      <c r="E16" s="158"/>
      <c r="F16" s="159"/>
      <c r="G16" s="160">
        <f>E16+F16</f>
        <v>0</v>
      </c>
      <c r="H16" s="41"/>
      <c r="I16" s="46"/>
      <c r="J16" s="47"/>
      <c r="K16" s="48">
        <f>I16+J16</f>
        <v>0</v>
      </c>
      <c r="L16" s="41"/>
      <c r="M16" s="46"/>
      <c r="N16" s="47"/>
      <c r="O16" s="48">
        <f>M16+N16</f>
        <v>0</v>
      </c>
      <c r="P16" s="41"/>
      <c r="Q16" s="46"/>
      <c r="R16" s="47"/>
      <c r="S16" s="48">
        <v>0</v>
      </c>
      <c r="T16" s="41"/>
      <c r="U16" s="46"/>
      <c r="V16" s="47"/>
      <c r="W16" s="48"/>
      <c r="X16" s="41"/>
      <c r="Y16" s="46"/>
      <c r="Z16" s="47"/>
      <c r="AA16" s="48">
        <v>0</v>
      </c>
      <c r="AB16" s="41"/>
      <c r="AC16" s="46"/>
      <c r="AD16" s="47"/>
      <c r="AE16" s="48">
        <v>0</v>
      </c>
      <c r="AF16" s="41"/>
      <c r="AG16" s="46"/>
      <c r="AH16" s="47"/>
      <c r="AI16" s="48">
        <v>0</v>
      </c>
      <c r="AJ16" s="41"/>
      <c r="AK16" s="46"/>
      <c r="AL16" s="47"/>
      <c r="AM16" s="48">
        <v>0</v>
      </c>
      <c r="AN16" s="41"/>
      <c r="AO16" s="46"/>
      <c r="AP16" s="47"/>
      <c r="AQ16" s="48"/>
      <c r="AR16" s="41"/>
      <c r="AS16" s="46"/>
      <c r="AT16" s="47"/>
      <c r="AU16" s="49">
        <v>0</v>
      </c>
      <c r="AV16" s="41"/>
      <c r="AW16" s="46"/>
      <c r="AX16" s="47"/>
      <c r="AY16" s="49">
        <v>0</v>
      </c>
      <c r="AZ16" s="41"/>
      <c r="BA16" s="46"/>
      <c r="BB16" s="47"/>
      <c r="BC16" s="48">
        <v>0</v>
      </c>
      <c r="BD16" s="41"/>
      <c r="BE16" s="46"/>
      <c r="BF16" s="47"/>
      <c r="BG16" s="48">
        <v>0</v>
      </c>
      <c r="BH16" s="41"/>
      <c r="BI16" s="46"/>
      <c r="BJ16" s="47"/>
      <c r="BK16" s="49"/>
      <c r="BL16" s="41"/>
      <c r="BM16" s="46"/>
      <c r="BN16" s="47"/>
      <c r="BO16" s="48"/>
      <c r="BP16" s="41"/>
      <c r="BQ16" s="46"/>
      <c r="BR16" s="47"/>
      <c r="BS16" s="48">
        <v>0</v>
      </c>
      <c r="BT16" s="41"/>
      <c r="BU16" s="46"/>
      <c r="BV16" s="47"/>
      <c r="BW16" s="48">
        <v>0</v>
      </c>
      <c r="BX16" s="41"/>
      <c r="BY16" s="46"/>
      <c r="BZ16" s="47"/>
      <c r="CA16" s="48">
        <v>0</v>
      </c>
      <c r="CB16" s="41"/>
      <c r="CC16" s="46"/>
      <c r="CD16" s="47"/>
      <c r="CE16" s="48"/>
      <c r="CF16" s="41"/>
      <c r="CG16" s="46"/>
      <c r="CH16" s="47"/>
      <c r="CI16" s="48"/>
      <c r="CJ16" s="41"/>
      <c r="CK16" s="46"/>
      <c r="CL16" s="47"/>
      <c r="CM16" s="48">
        <v>0</v>
      </c>
      <c r="CN16" s="41"/>
      <c r="CO16" s="46"/>
      <c r="CP16" s="47"/>
      <c r="CQ16" s="48">
        <v>0</v>
      </c>
      <c r="CR16" s="41"/>
      <c r="CS16" s="46"/>
      <c r="CT16" s="47"/>
      <c r="CU16" s="48">
        <v>0</v>
      </c>
      <c r="CV16" s="41"/>
      <c r="CW16" s="46"/>
      <c r="CX16" s="47"/>
      <c r="CY16" s="48"/>
      <c r="CZ16" s="41"/>
      <c r="DA16" s="46"/>
      <c r="DB16" s="47"/>
      <c r="DC16" s="49"/>
      <c r="DD16" s="41"/>
      <c r="DE16" s="46"/>
      <c r="DF16" s="47"/>
      <c r="DG16" s="48">
        <v>0</v>
      </c>
      <c r="DH16" s="41"/>
      <c r="DI16" s="46"/>
      <c r="DJ16" s="47"/>
      <c r="DK16" s="48">
        <v>0</v>
      </c>
      <c r="DL16" s="41"/>
      <c r="DM16" s="46"/>
      <c r="DN16" s="47"/>
      <c r="DO16" s="48">
        <v>0</v>
      </c>
      <c r="DP16" s="41"/>
      <c r="DQ16" s="46"/>
      <c r="DR16" s="47"/>
      <c r="DS16" s="49"/>
      <c r="DT16" s="121"/>
    </row>
    <row r="17" spans="1:124" s="61" customFormat="1" ht="18" customHeight="1" x14ac:dyDescent="0.2">
      <c r="A17" s="50" t="s">
        <v>46</v>
      </c>
      <c r="B17" s="68" t="s">
        <v>106</v>
      </c>
      <c r="C17" s="69" t="s">
        <v>96</v>
      </c>
      <c r="D17" s="70">
        <f t="shared" ref="D17:K17" si="12">D13-D14</f>
        <v>1064147.101</v>
      </c>
      <c r="E17" s="167">
        <f t="shared" si="12"/>
        <v>488018.45</v>
      </c>
      <c r="F17" s="168">
        <f t="shared" si="12"/>
        <v>425208.17799999996</v>
      </c>
      <c r="G17" s="163">
        <f t="shared" si="12"/>
        <v>913226.62800000003</v>
      </c>
      <c r="H17" s="52">
        <f t="shared" si="12"/>
        <v>1064147.101</v>
      </c>
      <c r="I17" s="71">
        <f t="shared" si="12"/>
        <v>469534.97399999999</v>
      </c>
      <c r="J17" s="72">
        <f t="shared" si="12"/>
        <v>416871.03799999994</v>
      </c>
      <c r="K17" s="55">
        <f t="shared" si="12"/>
        <v>886406.01199999987</v>
      </c>
      <c r="L17" s="52">
        <f t="shared" ref="L17:O17" si="13">L13-L14</f>
        <v>1015640.36</v>
      </c>
      <c r="M17" s="71">
        <f t="shared" si="13"/>
        <v>0</v>
      </c>
      <c r="N17" s="72">
        <f t="shared" si="13"/>
        <v>0</v>
      </c>
      <c r="O17" s="55">
        <f t="shared" si="13"/>
        <v>0</v>
      </c>
      <c r="P17" s="52">
        <v>970897.59399999992</v>
      </c>
      <c r="Q17" s="71">
        <v>486366.06899999996</v>
      </c>
      <c r="R17" s="72">
        <v>411802.46799999999</v>
      </c>
      <c r="S17" s="55">
        <v>898168.53700000001</v>
      </c>
      <c r="T17" s="52">
        <v>1064147.101</v>
      </c>
      <c r="U17" s="71">
        <v>0</v>
      </c>
      <c r="V17" s="72">
        <v>0</v>
      </c>
      <c r="W17" s="55">
        <v>0</v>
      </c>
      <c r="X17" s="70">
        <v>38538.102999999996</v>
      </c>
      <c r="Y17" s="71">
        <v>17217.813999999998</v>
      </c>
      <c r="Z17" s="72">
        <v>16446.099000000002</v>
      </c>
      <c r="AA17" s="55">
        <v>33663.913</v>
      </c>
      <c r="AB17" s="52">
        <v>38538.102999999996</v>
      </c>
      <c r="AC17" s="71">
        <v>14477.022999999999</v>
      </c>
      <c r="AD17" s="72">
        <v>13556.44</v>
      </c>
      <c r="AE17" s="55">
        <v>28033.463</v>
      </c>
      <c r="AF17" s="52">
        <v>36449.343000000001</v>
      </c>
      <c r="AG17" s="71">
        <v>0</v>
      </c>
      <c r="AH17" s="72">
        <v>0</v>
      </c>
      <c r="AI17" s="55">
        <v>0</v>
      </c>
      <c r="AJ17" s="52">
        <v>32655.782000000003</v>
      </c>
      <c r="AK17" s="71">
        <v>14115.508999999998</v>
      </c>
      <c r="AL17" s="72">
        <v>12984.32986419963</v>
      </c>
      <c r="AM17" s="55">
        <v>27099.838864199628</v>
      </c>
      <c r="AN17" s="52">
        <v>38538.102999999996</v>
      </c>
      <c r="AO17" s="71">
        <v>0</v>
      </c>
      <c r="AP17" s="72">
        <v>0</v>
      </c>
      <c r="AQ17" s="55">
        <v>0</v>
      </c>
      <c r="AR17" s="70">
        <v>19517.870000000003</v>
      </c>
      <c r="AS17" s="71">
        <v>9549.7960000000003</v>
      </c>
      <c r="AT17" s="72">
        <v>8535.6130000000012</v>
      </c>
      <c r="AU17" s="56">
        <v>18085.409</v>
      </c>
      <c r="AV17" s="52">
        <v>19517.870000000003</v>
      </c>
      <c r="AW17" s="71">
        <v>8658.844000000001</v>
      </c>
      <c r="AX17" s="72">
        <v>7798.3429999999998</v>
      </c>
      <c r="AY17" s="56">
        <v>16457.186999999998</v>
      </c>
      <c r="AZ17" s="52">
        <v>18791.3</v>
      </c>
      <c r="BA17" s="71">
        <v>0</v>
      </c>
      <c r="BB17" s="72">
        <v>0</v>
      </c>
      <c r="BC17" s="55">
        <v>0</v>
      </c>
      <c r="BD17" s="52">
        <v>17870.928</v>
      </c>
      <c r="BE17" s="71">
        <v>8503.4970000000012</v>
      </c>
      <c r="BF17" s="72">
        <v>7312.7820000000002</v>
      </c>
      <c r="BG17" s="55">
        <v>15816.279</v>
      </c>
      <c r="BH17" s="52">
        <v>19517.870000000003</v>
      </c>
      <c r="BI17" s="71">
        <v>0</v>
      </c>
      <c r="BJ17" s="72">
        <v>0</v>
      </c>
      <c r="BK17" s="56">
        <v>0</v>
      </c>
      <c r="BL17" s="70">
        <v>31800.918000000005</v>
      </c>
      <c r="BM17" s="71">
        <v>14896.262000000001</v>
      </c>
      <c r="BN17" s="72">
        <v>13238.161</v>
      </c>
      <c r="BO17" s="55">
        <v>28134.422999999999</v>
      </c>
      <c r="BP17" s="52">
        <v>31800.918000000005</v>
      </c>
      <c r="BQ17" s="71">
        <v>13211.923000000003</v>
      </c>
      <c r="BR17" s="72">
        <v>13154.444000000001</v>
      </c>
      <c r="BS17" s="55">
        <v>26366.367000000002</v>
      </c>
      <c r="BT17" s="52">
        <v>30035.607999999993</v>
      </c>
      <c r="BU17" s="71">
        <v>0</v>
      </c>
      <c r="BV17" s="72">
        <v>0</v>
      </c>
      <c r="BW17" s="55">
        <v>0</v>
      </c>
      <c r="BX17" s="52">
        <v>28811.449000000001</v>
      </c>
      <c r="BY17" s="71">
        <v>13067.743000000002</v>
      </c>
      <c r="BZ17" s="72">
        <v>13242.312999999998</v>
      </c>
      <c r="CA17" s="55">
        <v>26310.056</v>
      </c>
      <c r="CB17" s="52">
        <v>31800.918000000005</v>
      </c>
      <c r="CC17" s="71">
        <v>0</v>
      </c>
      <c r="CD17" s="72">
        <v>0</v>
      </c>
      <c r="CE17" s="55">
        <v>0</v>
      </c>
      <c r="CF17" s="70">
        <v>26289.789000000004</v>
      </c>
      <c r="CG17" s="71">
        <v>10116.310000000001</v>
      </c>
      <c r="CH17" s="72">
        <v>9603.7039999999997</v>
      </c>
      <c r="CI17" s="55">
        <v>19720.013999999999</v>
      </c>
      <c r="CJ17" s="52">
        <v>24207.053999999996</v>
      </c>
      <c r="CK17" s="71">
        <v>9542.1039999999994</v>
      </c>
      <c r="CL17" s="72">
        <v>10076.838000000003</v>
      </c>
      <c r="CM17" s="55">
        <v>19618.942000000003</v>
      </c>
      <c r="CN17" s="52">
        <v>22389.858</v>
      </c>
      <c r="CO17" s="71">
        <v>0</v>
      </c>
      <c r="CP17" s="72">
        <v>0</v>
      </c>
      <c r="CQ17" s="55">
        <v>0</v>
      </c>
      <c r="CR17" s="52">
        <v>20774.844999999998</v>
      </c>
      <c r="CS17" s="71">
        <v>8746.0239999999994</v>
      </c>
      <c r="CT17" s="72">
        <v>8677.5779999999977</v>
      </c>
      <c r="CU17" s="55">
        <v>17423.601999999999</v>
      </c>
      <c r="CV17" s="52">
        <v>24207.053999999996</v>
      </c>
      <c r="CW17" s="71">
        <v>0</v>
      </c>
      <c r="CX17" s="72">
        <v>0</v>
      </c>
      <c r="CY17" s="55">
        <v>0</v>
      </c>
      <c r="CZ17" s="70">
        <v>26815.473000000002</v>
      </c>
      <c r="DA17" s="71">
        <v>12699.682999999999</v>
      </c>
      <c r="DB17" s="72">
        <v>12673.500999999998</v>
      </c>
      <c r="DC17" s="56">
        <v>25373.183999999997</v>
      </c>
      <c r="DD17" s="52">
        <v>26815.473000000002</v>
      </c>
      <c r="DE17" s="71">
        <v>12325.956</v>
      </c>
      <c r="DF17" s="72">
        <v>11759.583999999999</v>
      </c>
      <c r="DG17" s="55">
        <v>24085.54</v>
      </c>
      <c r="DH17" s="52">
        <v>26321.088</v>
      </c>
      <c r="DI17" s="71">
        <v>0</v>
      </c>
      <c r="DJ17" s="72">
        <v>0</v>
      </c>
      <c r="DK17" s="55">
        <v>0</v>
      </c>
      <c r="DL17" s="52">
        <v>26321.088</v>
      </c>
      <c r="DM17" s="71">
        <v>12221.02</v>
      </c>
      <c r="DN17" s="72">
        <v>11982.300000000003</v>
      </c>
      <c r="DO17" s="55">
        <v>24203.320000000003</v>
      </c>
      <c r="DP17" s="52">
        <f t="shared" ref="DP17:DS17" si="14">DP13-DP14</f>
        <v>26815.473000000002</v>
      </c>
      <c r="DQ17" s="71">
        <f t="shared" si="14"/>
        <v>0</v>
      </c>
      <c r="DR17" s="72">
        <f t="shared" si="14"/>
        <v>0</v>
      </c>
      <c r="DS17" s="56">
        <f t="shared" si="14"/>
        <v>0</v>
      </c>
      <c r="DT17" s="122"/>
    </row>
    <row r="18" spans="1:124" s="25" customFormat="1" ht="18.75" customHeight="1" x14ac:dyDescent="0.2">
      <c r="A18" s="34" t="s">
        <v>47</v>
      </c>
      <c r="B18" s="57" t="s">
        <v>107</v>
      </c>
      <c r="C18" s="45" t="s">
        <v>96</v>
      </c>
      <c r="D18" s="41">
        <f>D19+D20+D21</f>
        <v>727929.97</v>
      </c>
      <c r="E18" s="158">
        <f>E19+E20+E21</f>
        <v>312297.92599999998</v>
      </c>
      <c r="F18" s="159">
        <f>F19+F20+F21</f>
        <v>258648.85700000002</v>
      </c>
      <c r="G18" s="157">
        <f>G19+G20+G21</f>
        <v>570946.78300000005</v>
      </c>
      <c r="H18" s="41">
        <f>H19+H20+H21</f>
        <v>727929.97</v>
      </c>
      <c r="I18" s="46">
        <f t="shared" ref="I18:K18" si="15">I19+I20+I21</f>
        <v>300611.23599999998</v>
      </c>
      <c r="J18" s="47">
        <f t="shared" si="15"/>
        <v>249837.05499999999</v>
      </c>
      <c r="K18" s="40">
        <f t="shared" si="15"/>
        <v>550448.29099999997</v>
      </c>
      <c r="L18" s="41">
        <v>663809.05099999998</v>
      </c>
      <c r="M18" s="46"/>
      <c r="N18" s="47"/>
      <c r="O18" s="40">
        <f>O19+O20+O21</f>
        <v>0</v>
      </c>
      <c r="P18" s="41">
        <v>621768.09299999999</v>
      </c>
      <c r="Q18" s="46">
        <v>304418.45500000002</v>
      </c>
      <c r="R18" s="47">
        <v>213572.18099999998</v>
      </c>
      <c r="S18" s="48">
        <v>517990.636</v>
      </c>
      <c r="T18" s="41">
        <v>727929.97</v>
      </c>
      <c r="U18" s="46">
        <v>0</v>
      </c>
      <c r="V18" s="47">
        <v>0</v>
      </c>
      <c r="W18" s="40">
        <v>0</v>
      </c>
      <c r="X18" s="41">
        <v>3749.9189999999999</v>
      </c>
      <c r="Y18" s="46">
        <v>1172.0219999999999</v>
      </c>
      <c r="Z18" s="47">
        <v>1403.6610000000001</v>
      </c>
      <c r="AA18" s="40">
        <v>2575.683</v>
      </c>
      <c r="AB18" s="41">
        <v>3749.9189999999999</v>
      </c>
      <c r="AC18" s="46">
        <v>1054.7739999999999</v>
      </c>
      <c r="AD18" s="47">
        <v>959.43499999999995</v>
      </c>
      <c r="AE18" s="40">
        <v>2014.2089999999998</v>
      </c>
      <c r="AF18" s="41">
        <v>3174.4479999999999</v>
      </c>
      <c r="AG18" s="46"/>
      <c r="AH18" s="47"/>
      <c r="AI18" s="40">
        <v>0</v>
      </c>
      <c r="AJ18" s="41">
        <v>2567.002</v>
      </c>
      <c r="AK18" s="46">
        <v>1295.1860000000001</v>
      </c>
      <c r="AL18" s="47">
        <v>1537.7990000000004</v>
      </c>
      <c r="AM18" s="40">
        <v>2832.9850000000006</v>
      </c>
      <c r="AN18" s="41">
        <v>3749.9189999999999</v>
      </c>
      <c r="AO18" s="46">
        <v>0</v>
      </c>
      <c r="AP18" s="47">
        <v>0</v>
      </c>
      <c r="AQ18" s="40">
        <v>0</v>
      </c>
      <c r="AR18" s="41">
        <v>8061.9059999999999</v>
      </c>
      <c r="AS18" s="46">
        <v>3969.9830000000002</v>
      </c>
      <c r="AT18" s="47">
        <v>3161.4059999999999</v>
      </c>
      <c r="AU18" s="42">
        <v>7131.3890000000001</v>
      </c>
      <c r="AV18" s="41">
        <v>8061.9059999999999</v>
      </c>
      <c r="AW18" s="46">
        <v>3595.6149999999998</v>
      </c>
      <c r="AX18" s="47">
        <v>2885.7550000000001</v>
      </c>
      <c r="AY18" s="42">
        <v>6481.37</v>
      </c>
      <c r="AZ18" s="41">
        <v>7578.6530000000002</v>
      </c>
      <c r="BA18" s="46">
        <v>0</v>
      </c>
      <c r="BB18" s="47">
        <v>0</v>
      </c>
      <c r="BC18" s="40">
        <v>0</v>
      </c>
      <c r="BD18" s="41">
        <v>7136.7209999999995</v>
      </c>
      <c r="BE18" s="46">
        <v>3492.0419999999999</v>
      </c>
      <c r="BF18" s="47">
        <v>2804.9630000000002</v>
      </c>
      <c r="BG18" s="40">
        <v>6297.0050000000001</v>
      </c>
      <c r="BH18" s="41">
        <v>8061.9059999999999</v>
      </c>
      <c r="BI18" s="46">
        <v>0</v>
      </c>
      <c r="BJ18" s="47">
        <v>0</v>
      </c>
      <c r="BK18" s="42">
        <v>0</v>
      </c>
      <c r="BL18" s="41">
        <v>9707.027</v>
      </c>
      <c r="BM18" s="46">
        <v>4267.451</v>
      </c>
      <c r="BN18" s="47">
        <v>3838.7860000000001</v>
      </c>
      <c r="BO18" s="40">
        <v>8106.2370000000001</v>
      </c>
      <c r="BP18" s="41">
        <v>9707.027</v>
      </c>
      <c r="BQ18" s="46">
        <v>3841.9970000000003</v>
      </c>
      <c r="BR18" s="47">
        <v>3676.7420000000002</v>
      </c>
      <c r="BS18" s="40">
        <v>7518.7389999999996</v>
      </c>
      <c r="BT18" s="41">
        <v>8588.8960000000006</v>
      </c>
      <c r="BU18" s="46">
        <v>0</v>
      </c>
      <c r="BV18" s="47">
        <v>0</v>
      </c>
      <c r="BW18" s="40">
        <v>0</v>
      </c>
      <c r="BX18" s="41">
        <v>8152.3459999999995</v>
      </c>
      <c r="BY18" s="46">
        <v>3662.8890000000001</v>
      </c>
      <c r="BZ18" s="47">
        <v>3384.822000000001</v>
      </c>
      <c r="CA18" s="40">
        <v>7047.7110000000011</v>
      </c>
      <c r="CB18" s="41">
        <v>9707.027</v>
      </c>
      <c r="CC18" s="46">
        <v>0</v>
      </c>
      <c r="CD18" s="47">
        <v>0</v>
      </c>
      <c r="CE18" s="40">
        <v>0</v>
      </c>
      <c r="CF18" s="41">
        <v>10273.637000000001</v>
      </c>
      <c r="CG18" s="46">
        <v>3388.02</v>
      </c>
      <c r="CH18" s="47">
        <v>2774.8250000000003</v>
      </c>
      <c r="CI18" s="40">
        <v>6162.8449999999993</v>
      </c>
      <c r="CJ18" s="41">
        <v>9114.8610000000008</v>
      </c>
      <c r="CK18" s="46">
        <v>2879.1819999999998</v>
      </c>
      <c r="CL18" s="47">
        <v>3024.68</v>
      </c>
      <c r="CM18" s="40">
        <v>5903.8620000000001</v>
      </c>
      <c r="CN18" s="41">
        <v>8005.3779999999997</v>
      </c>
      <c r="CO18" s="46">
        <v>0</v>
      </c>
      <c r="CP18" s="47">
        <v>0</v>
      </c>
      <c r="CQ18" s="40">
        <v>0</v>
      </c>
      <c r="CR18" s="41">
        <v>6825.4830000000002</v>
      </c>
      <c r="CS18" s="46">
        <v>2519.8119999999999</v>
      </c>
      <c r="CT18" s="47">
        <v>2571.7890000000007</v>
      </c>
      <c r="CU18" s="40">
        <v>5091.6010000000006</v>
      </c>
      <c r="CV18" s="41">
        <v>9114.8610000000008</v>
      </c>
      <c r="CW18" s="46">
        <v>0</v>
      </c>
      <c r="CX18" s="47">
        <v>0</v>
      </c>
      <c r="CY18" s="40">
        <v>0</v>
      </c>
      <c r="CZ18" s="41">
        <v>1931.9569999999999</v>
      </c>
      <c r="DA18" s="46">
        <v>880.67599999999993</v>
      </c>
      <c r="DB18" s="47">
        <v>941.45699999999999</v>
      </c>
      <c r="DC18" s="42">
        <v>1822.133</v>
      </c>
      <c r="DD18" s="41">
        <v>1931.9569999999999</v>
      </c>
      <c r="DE18" s="46">
        <v>907.83600000000001</v>
      </c>
      <c r="DF18" s="47">
        <v>897.30499999999995</v>
      </c>
      <c r="DG18" s="40">
        <v>1805.1410000000001</v>
      </c>
      <c r="DH18" s="41">
        <v>1824.3140000000001</v>
      </c>
      <c r="DI18" s="46"/>
      <c r="DJ18" s="47"/>
      <c r="DK18" s="40">
        <v>0</v>
      </c>
      <c r="DL18" s="41">
        <v>1824.3140000000001</v>
      </c>
      <c r="DM18" s="46">
        <v>845.89200000000005</v>
      </c>
      <c r="DN18" s="47">
        <v>914.97599999999989</v>
      </c>
      <c r="DO18" s="40">
        <v>1760.8679999999999</v>
      </c>
      <c r="DP18" s="41">
        <f>DP19+DP20+DP21</f>
        <v>1931.9569999999999</v>
      </c>
      <c r="DQ18" s="46">
        <f>DQ19+DQ20+DQ21</f>
        <v>0</v>
      </c>
      <c r="DR18" s="47">
        <f>DR19+DR20+DR21</f>
        <v>0</v>
      </c>
      <c r="DS18" s="42">
        <f>DS19+DS20+DS21</f>
        <v>0</v>
      </c>
      <c r="DT18" s="121"/>
    </row>
    <row r="19" spans="1:124" s="25" customFormat="1" ht="18" customHeight="1" x14ac:dyDescent="0.2">
      <c r="A19" s="43" t="s">
        <v>108</v>
      </c>
      <c r="B19" s="73" t="s">
        <v>109</v>
      </c>
      <c r="C19" s="64" t="s">
        <v>96</v>
      </c>
      <c r="D19" s="65">
        <v>444914.45900000003</v>
      </c>
      <c r="E19" s="165">
        <v>216396.3</v>
      </c>
      <c r="F19" s="166">
        <v>182714.93800000002</v>
      </c>
      <c r="G19" s="160">
        <f>E19+F19</f>
        <v>399111.23800000001</v>
      </c>
      <c r="H19" s="41">
        <f>D19</f>
        <v>444914.45900000003</v>
      </c>
      <c r="I19" s="66">
        <v>214496.60987096775</v>
      </c>
      <c r="J19" s="67">
        <v>185737.47199999995</v>
      </c>
      <c r="K19" s="48">
        <f>I19+J19</f>
        <v>400234.0818709677</v>
      </c>
      <c r="L19" s="41">
        <v>389249.88900000002</v>
      </c>
      <c r="M19" s="66"/>
      <c r="N19" s="67"/>
      <c r="O19" s="48">
        <f>M19+N19</f>
        <v>0</v>
      </c>
      <c r="P19" s="41">
        <v>364597.56099999999</v>
      </c>
      <c r="Q19" s="66">
        <v>227357.198</v>
      </c>
      <c r="R19" s="67">
        <v>174296.27900000001</v>
      </c>
      <c r="S19" s="48">
        <v>401653.47700000001</v>
      </c>
      <c r="T19" s="41">
        <v>444914.45900000003</v>
      </c>
      <c r="U19" s="66"/>
      <c r="V19" s="67"/>
      <c r="W19" s="48"/>
      <c r="X19" s="65">
        <v>0</v>
      </c>
      <c r="Y19" s="66"/>
      <c r="Z19" s="67"/>
      <c r="AA19" s="48">
        <v>0</v>
      </c>
      <c r="AB19" s="41"/>
      <c r="AC19" s="66"/>
      <c r="AD19" s="67"/>
      <c r="AE19" s="48">
        <v>0</v>
      </c>
      <c r="AF19" s="41"/>
      <c r="AG19" s="66"/>
      <c r="AH19" s="67"/>
      <c r="AI19" s="48">
        <v>0</v>
      </c>
      <c r="AJ19" s="41"/>
      <c r="AK19" s="66"/>
      <c r="AL19" s="67"/>
      <c r="AM19" s="48">
        <v>0</v>
      </c>
      <c r="AN19" s="41"/>
      <c r="AO19" s="66"/>
      <c r="AP19" s="67"/>
      <c r="AQ19" s="48"/>
      <c r="AR19" s="41">
        <v>6709.6229999999996</v>
      </c>
      <c r="AS19" s="66">
        <v>3403.1060000000002</v>
      </c>
      <c r="AT19" s="67">
        <v>2518.1439999999998</v>
      </c>
      <c r="AU19" s="49">
        <v>5921.25</v>
      </c>
      <c r="AV19" s="41">
        <v>6709.6229999999996</v>
      </c>
      <c r="AW19" s="66">
        <v>3040.5079999999998</v>
      </c>
      <c r="AX19" s="67">
        <v>2267.4960000000001</v>
      </c>
      <c r="AY19" s="49">
        <v>5308.0039999999999</v>
      </c>
      <c r="AZ19" s="41">
        <v>6709.6229999999996</v>
      </c>
      <c r="BA19" s="66"/>
      <c r="BB19" s="67"/>
      <c r="BC19" s="48">
        <v>0</v>
      </c>
      <c r="BD19" s="41">
        <v>6318.3670000000002</v>
      </c>
      <c r="BE19" s="66">
        <v>2929.6039999999998</v>
      </c>
      <c r="BF19" s="67">
        <v>2178.2249999999999</v>
      </c>
      <c r="BG19" s="48">
        <v>5107.8289999999997</v>
      </c>
      <c r="BH19" s="41">
        <v>6709.6229999999996</v>
      </c>
      <c r="BI19" s="66"/>
      <c r="BJ19" s="67"/>
      <c r="BK19" s="49"/>
      <c r="BL19" s="41">
        <v>5280.7179999999998</v>
      </c>
      <c r="BM19" s="66">
        <v>2332.1289999999999</v>
      </c>
      <c r="BN19" s="67">
        <v>1734.038</v>
      </c>
      <c r="BO19" s="48">
        <v>4066.1669999999999</v>
      </c>
      <c r="BP19" s="41">
        <v>5280.7179999999998</v>
      </c>
      <c r="BQ19" s="66">
        <v>2104.4659999999999</v>
      </c>
      <c r="BR19" s="67">
        <v>1576.2850000000003</v>
      </c>
      <c r="BS19" s="48">
        <v>3680.7510000000002</v>
      </c>
      <c r="BT19" s="41">
        <v>4308.2740000000003</v>
      </c>
      <c r="BU19" s="66"/>
      <c r="BV19" s="67"/>
      <c r="BW19" s="48">
        <v>0</v>
      </c>
      <c r="BX19" s="41">
        <v>4089.2959999999998</v>
      </c>
      <c r="BY19" s="66">
        <v>1341.511</v>
      </c>
      <c r="BZ19" s="67">
        <v>1047.6369999999999</v>
      </c>
      <c r="CA19" s="48">
        <v>2389.1480000000001</v>
      </c>
      <c r="CB19" s="41">
        <v>5280.7179999999998</v>
      </c>
      <c r="CC19" s="66"/>
      <c r="CD19" s="67"/>
      <c r="CE19" s="48"/>
      <c r="CF19" s="41">
        <v>7655.4890000000005</v>
      </c>
      <c r="CG19" s="66">
        <v>2384.5630000000001</v>
      </c>
      <c r="CH19" s="67">
        <v>1716.768</v>
      </c>
      <c r="CI19" s="48">
        <v>4101.3310000000001</v>
      </c>
      <c r="CJ19" s="41">
        <v>6666.09</v>
      </c>
      <c r="CK19" s="66">
        <v>2069.9780000000001</v>
      </c>
      <c r="CL19" s="67">
        <v>1701.8560000000002</v>
      </c>
      <c r="CM19" s="48">
        <v>3771.8340000000003</v>
      </c>
      <c r="CN19" s="41">
        <v>5854.6769999999997</v>
      </c>
      <c r="CO19" s="66"/>
      <c r="CP19" s="67"/>
      <c r="CQ19" s="48">
        <v>0</v>
      </c>
      <c r="CR19" s="41">
        <v>4991.7690000000002</v>
      </c>
      <c r="CS19" s="66">
        <v>1779.627</v>
      </c>
      <c r="CT19" s="67">
        <v>1342.0129999999999</v>
      </c>
      <c r="CU19" s="48">
        <v>3121.64</v>
      </c>
      <c r="CV19" s="41">
        <v>6666.09</v>
      </c>
      <c r="CW19" s="66"/>
      <c r="CX19" s="67"/>
      <c r="CY19" s="48"/>
      <c r="CZ19" s="41"/>
      <c r="DA19" s="66"/>
      <c r="DB19" s="67"/>
      <c r="DC19" s="49"/>
      <c r="DD19" s="41"/>
      <c r="DE19" s="66"/>
      <c r="DF19" s="67"/>
      <c r="DG19" s="48">
        <v>0</v>
      </c>
      <c r="DH19" s="41">
        <v>0</v>
      </c>
      <c r="DI19" s="66"/>
      <c r="DJ19" s="67"/>
      <c r="DK19" s="48">
        <v>0</v>
      </c>
      <c r="DL19" s="41">
        <v>0</v>
      </c>
      <c r="DM19" s="66"/>
      <c r="DN19" s="67"/>
      <c r="DO19" s="48">
        <v>0</v>
      </c>
      <c r="DP19" s="41">
        <f>DD19</f>
        <v>0</v>
      </c>
      <c r="DQ19" s="66"/>
      <c r="DR19" s="67"/>
      <c r="DS19" s="49"/>
      <c r="DT19" s="121"/>
    </row>
    <row r="20" spans="1:124" s="25" customFormat="1" ht="15" x14ac:dyDescent="0.2">
      <c r="A20" s="43" t="s">
        <v>110</v>
      </c>
      <c r="B20" s="63" t="s">
        <v>111</v>
      </c>
      <c r="C20" s="45" t="s">
        <v>96</v>
      </c>
      <c r="D20" s="41">
        <v>40065.805999999997</v>
      </c>
      <c r="E20" s="158">
        <v>6107.7</v>
      </c>
      <c r="F20" s="159">
        <v>7761.1619999999994</v>
      </c>
      <c r="G20" s="157">
        <f>E20+F20</f>
        <v>13868.861999999999</v>
      </c>
      <c r="H20" s="41">
        <f>D20</f>
        <v>40065.805999999997</v>
      </c>
      <c r="I20" s="46">
        <f>219006-I19</f>
        <v>4509.3901290322538</v>
      </c>
      <c r="J20" s="47">
        <f>195165-J19</f>
        <v>9427.5280000000494</v>
      </c>
      <c r="K20" s="40">
        <f>I20+J20</f>
        <v>13936.918129032303</v>
      </c>
      <c r="L20" s="41">
        <v>35053.053999999996</v>
      </c>
      <c r="M20" s="46"/>
      <c r="N20" s="47"/>
      <c r="O20" s="40">
        <f>M20+N20</f>
        <v>0</v>
      </c>
      <c r="P20" s="41">
        <v>32833.042000000001</v>
      </c>
      <c r="Q20" s="46">
        <v>5501.8019999999997</v>
      </c>
      <c r="R20" s="47">
        <v>5226.7209999999995</v>
      </c>
      <c r="S20" s="40">
        <v>10728.522999999999</v>
      </c>
      <c r="T20" s="41">
        <v>40065.805999999997</v>
      </c>
      <c r="U20" s="46"/>
      <c r="V20" s="47"/>
      <c r="W20" s="40"/>
      <c r="X20" s="41">
        <v>2875.2930000000001</v>
      </c>
      <c r="Y20" s="46">
        <v>796</v>
      </c>
      <c r="Z20" s="47">
        <v>1101</v>
      </c>
      <c r="AA20" s="40">
        <v>1897</v>
      </c>
      <c r="AB20" s="41">
        <v>2875.2930000000001</v>
      </c>
      <c r="AC20" s="46">
        <v>638</v>
      </c>
      <c r="AD20" s="47">
        <v>544</v>
      </c>
      <c r="AE20" s="40">
        <v>1182</v>
      </c>
      <c r="AF20" s="41">
        <v>2434.0440722223602</v>
      </c>
      <c r="AG20" s="46"/>
      <c r="AH20" s="47"/>
      <c r="AI20" s="40">
        <v>0</v>
      </c>
      <c r="AJ20" s="41">
        <v>1968.278</v>
      </c>
      <c r="AK20" s="46">
        <v>1052</v>
      </c>
      <c r="AL20" s="47">
        <v>1266</v>
      </c>
      <c r="AM20" s="40">
        <v>2318</v>
      </c>
      <c r="AN20" s="41">
        <v>2875.2930000000001</v>
      </c>
      <c r="AO20" s="46"/>
      <c r="AP20" s="47"/>
      <c r="AQ20" s="40"/>
      <c r="AR20" s="41">
        <v>638.827</v>
      </c>
      <c r="AS20" s="46">
        <v>227.304</v>
      </c>
      <c r="AT20" s="47">
        <v>286.47199999999998</v>
      </c>
      <c r="AU20" s="42">
        <v>513.77599999999995</v>
      </c>
      <c r="AV20" s="41">
        <v>638.827</v>
      </c>
      <c r="AW20" s="46">
        <v>338.286</v>
      </c>
      <c r="AX20" s="47">
        <v>387.83499999999998</v>
      </c>
      <c r="AY20" s="42">
        <v>726.12099999999998</v>
      </c>
      <c r="AZ20" s="41">
        <v>638.827</v>
      </c>
      <c r="BA20" s="46"/>
      <c r="BB20" s="47"/>
      <c r="BC20" s="40">
        <v>0</v>
      </c>
      <c r="BD20" s="41">
        <v>601.57500000000005</v>
      </c>
      <c r="BE20" s="46">
        <v>326.02499999999998</v>
      </c>
      <c r="BF20" s="47">
        <v>387.24900000000002</v>
      </c>
      <c r="BG20" s="40">
        <v>713.274</v>
      </c>
      <c r="BH20" s="41">
        <v>638.827</v>
      </c>
      <c r="BI20" s="46"/>
      <c r="BJ20" s="47"/>
      <c r="BK20" s="42"/>
      <c r="BL20" s="41">
        <v>3774.9670000000001</v>
      </c>
      <c r="BM20" s="46">
        <v>1695.2739999999999</v>
      </c>
      <c r="BN20" s="47">
        <v>1842.152</v>
      </c>
      <c r="BO20" s="40">
        <v>3537.4259999999999</v>
      </c>
      <c r="BP20" s="41">
        <v>3774.9670000000001</v>
      </c>
      <c r="BQ20" s="46">
        <v>1625.856</v>
      </c>
      <c r="BR20" s="47">
        <v>1911.7659999999998</v>
      </c>
      <c r="BS20" s="40">
        <v>3537.6219999999998</v>
      </c>
      <c r="BT20" s="41">
        <v>3748.05</v>
      </c>
      <c r="BU20" s="46"/>
      <c r="BV20" s="47"/>
      <c r="BW20" s="40">
        <v>0</v>
      </c>
      <c r="BX20" s="41">
        <v>3557.547</v>
      </c>
      <c r="BY20" s="46">
        <v>2106.3609999999999</v>
      </c>
      <c r="BZ20" s="47">
        <v>2079.4540000000002</v>
      </c>
      <c r="CA20" s="40">
        <v>4185.8150000000005</v>
      </c>
      <c r="CB20" s="41">
        <v>3774.9670000000001</v>
      </c>
      <c r="CC20" s="46"/>
      <c r="CD20" s="47"/>
      <c r="CE20" s="40"/>
      <c r="CF20" s="41">
        <v>1718</v>
      </c>
      <c r="CG20" s="46">
        <v>721.93700000000001</v>
      </c>
      <c r="CH20" s="47">
        <v>591.73900000000003</v>
      </c>
      <c r="CI20" s="40">
        <v>1313.6759999999999</v>
      </c>
      <c r="CJ20" s="41">
        <v>1856.7930000000001</v>
      </c>
      <c r="CK20" s="46">
        <v>710.55399999999997</v>
      </c>
      <c r="CL20" s="47">
        <v>1178.7080000000001</v>
      </c>
      <c r="CM20" s="40">
        <v>1889.2620000000002</v>
      </c>
      <c r="CN20" s="41">
        <v>1630.78</v>
      </c>
      <c r="CO20" s="46"/>
      <c r="CP20" s="47"/>
      <c r="CQ20" s="40">
        <v>0</v>
      </c>
      <c r="CR20" s="41">
        <v>1390.423</v>
      </c>
      <c r="CS20" s="46">
        <v>698.12199999999996</v>
      </c>
      <c r="CT20" s="47">
        <v>1126.691</v>
      </c>
      <c r="CU20" s="40">
        <v>1824.8130000000001</v>
      </c>
      <c r="CV20" s="41">
        <v>1856.7930000000001</v>
      </c>
      <c r="CW20" s="46"/>
      <c r="CX20" s="47"/>
      <c r="CY20" s="40"/>
      <c r="CZ20" s="41">
        <v>1133.107</v>
      </c>
      <c r="DA20" s="46">
        <v>580.00599999999997</v>
      </c>
      <c r="DB20" s="47">
        <v>606.928</v>
      </c>
      <c r="DC20" s="42">
        <v>1186.934</v>
      </c>
      <c r="DD20" s="41">
        <v>1133.107</v>
      </c>
      <c r="DE20" s="46">
        <v>560.34199999999998</v>
      </c>
      <c r="DF20" s="47">
        <v>593.98300000000006</v>
      </c>
      <c r="DG20" s="40">
        <v>1154.325</v>
      </c>
      <c r="DH20" s="41">
        <v>1069.973588231001</v>
      </c>
      <c r="DI20" s="46"/>
      <c r="DJ20" s="47"/>
      <c r="DK20" s="40">
        <v>0</v>
      </c>
      <c r="DL20" s="41">
        <v>1069.973588231001</v>
      </c>
      <c r="DM20" s="46">
        <v>557.75400000000002</v>
      </c>
      <c r="DN20" s="47">
        <v>490.33800000000002</v>
      </c>
      <c r="DO20" s="48">
        <v>1048.0920000000001</v>
      </c>
      <c r="DP20" s="41">
        <f>DD20</f>
        <v>1133.107</v>
      </c>
      <c r="DQ20" s="46"/>
      <c r="DR20" s="47"/>
      <c r="DS20" s="42"/>
      <c r="DT20" s="121"/>
    </row>
    <row r="21" spans="1:124" s="25" customFormat="1" ht="15" x14ac:dyDescent="0.2">
      <c r="A21" s="43" t="s">
        <v>112</v>
      </c>
      <c r="B21" s="63" t="s">
        <v>113</v>
      </c>
      <c r="C21" s="45" t="s">
        <v>96</v>
      </c>
      <c r="D21" s="41">
        <v>242949.70500000002</v>
      </c>
      <c r="E21" s="158">
        <v>89793.925999999992</v>
      </c>
      <c r="F21" s="159">
        <v>68172.756999999998</v>
      </c>
      <c r="G21" s="160">
        <f>E21+F21</f>
        <v>157966.68299999999</v>
      </c>
      <c r="H21" s="41">
        <f>D21</f>
        <v>242949.70500000002</v>
      </c>
      <c r="I21" s="46">
        <f>300611.236-I19-I20</f>
        <v>81605.235999999975</v>
      </c>
      <c r="J21" s="47">
        <f>249837.055-J19-J20</f>
        <v>54672.054999999993</v>
      </c>
      <c r="K21" s="48">
        <f>I21+J21</f>
        <v>136277.29099999997</v>
      </c>
      <c r="L21" s="41">
        <v>239506.10800000001</v>
      </c>
      <c r="M21" s="46"/>
      <c r="N21" s="47"/>
      <c r="O21" s="48">
        <f>M21+N21</f>
        <v>0</v>
      </c>
      <c r="P21" s="41">
        <v>224337.49</v>
      </c>
      <c r="Q21" s="341">
        <v>71559.455000000016</v>
      </c>
      <c r="R21" s="341">
        <v>34049.180999999975</v>
      </c>
      <c r="S21" s="48">
        <v>105608.636</v>
      </c>
      <c r="T21" s="41">
        <v>242949.70500000002</v>
      </c>
      <c r="U21" s="46"/>
      <c r="V21" s="47"/>
      <c r="W21" s="48"/>
      <c r="X21" s="41">
        <v>874.62599999999975</v>
      </c>
      <c r="Y21" s="46">
        <v>376.02199999999993</v>
      </c>
      <c r="Z21" s="47">
        <v>302.66100000000006</v>
      </c>
      <c r="AA21" s="48">
        <v>678.68299999999999</v>
      </c>
      <c r="AB21" s="41">
        <v>874.62599999999975</v>
      </c>
      <c r="AC21" s="46">
        <v>416.77399999999989</v>
      </c>
      <c r="AD21" s="47">
        <v>415.43499999999995</v>
      </c>
      <c r="AE21" s="48">
        <v>832.20899999999983</v>
      </c>
      <c r="AF21" s="41">
        <v>740.40392777763975</v>
      </c>
      <c r="AG21" s="46"/>
      <c r="AH21" s="47"/>
      <c r="AI21" s="48">
        <v>0</v>
      </c>
      <c r="AJ21" s="41">
        <v>598.72400000000005</v>
      </c>
      <c r="AK21" s="341">
        <v>243.18600000000015</v>
      </c>
      <c r="AL21" s="47">
        <v>271.79900000000043</v>
      </c>
      <c r="AM21" s="48">
        <v>514.98500000000058</v>
      </c>
      <c r="AN21" s="41">
        <v>874.62599999999975</v>
      </c>
      <c r="AO21" s="46"/>
      <c r="AP21" s="47"/>
      <c r="AQ21" s="48"/>
      <c r="AR21" s="41">
        <v>713.4559999999999</v>
      </c>
      <c r="AS21" s="46">
        <v>339.57299999999998</v>
      </c>
      <c r="AT21" s="47">
        <v>356.79</v>
      </c>
      <c r="AU21" s="49">
        <v>696.36300000000006</v>
      </c>
      <c r="AV21" s="41">
        <v>713.4559999999999</v>
      </c>
      <c r="AW21" s="46">
        <v>216.82099999999997</v>
      </c>
      <c r="AX21" s="47">
        <v>230.42400000000004</v>
      </c>
      <c r="AY21" s="49">
        <v>447.245</v>
      </c>
      <c r="AZ21" s="41">
        <v>230.203</v>
      </c>
      <c r="BA21" s="46"/>
      <c r="BB21" s="47"/>
      <c r="BC21" s="48">
        <v>0</v>
      </c>
      <c r="BD21" s="41">
        <v>216.779</v>
      </c>
      <c r="BE21" s="46">
        <v>236.41300000000012</v>
      </c>
      <c r="BF21" s="47">
        <v>239.48900000000026</v>
      </c>
      <c r="BG21" s="48">
        <v>475.90200000000038</v>
      </c>
      <c r="BH21" s="41">
        <v>713.4559999999999</v>
      </c>
      <c r="BI21" s="46"/>
      <c r="BJ21" s="47"/>
      <c r="BK21" s="49"/>
      <c r="BL21" s="41">
        <v>651.34199999999998</v>
      </c>
      <c r="BM21" s="46">
        <v>240.04800000000023</v>
      </c>
      <c r="BN21" s="47">
        <v>262.596</v>
      </c>
      <c r="BO21" s="48">
        <v>502.64400000000023</v>
      </c>
      <c r="BP21" s="41">
        <v>651.34199999999998</v>
      </c>
      <c r="BQ21" s="46">
        <v>111.67499999999995</v>
      </c>
      <c r="BR21" s="47">
        <v>188.69099999999958</v>
      </c>
      <c r="BS21" s="48">
        <v>300.36599999999953</v>
      </c>
      <c r="BT21" s="41">
        <v>532.572</v>
      </c>
      <c r="BU21" s="46"/>
      <c r="BV21" s="47"/>
      <c r="BW21" s="48">
        <v>0</v>
      </c>
      <c r="BX21" s="41">
        <v>505.50299999999999</v>
      </c>
      <c r="BY21" s="46">
        <v>215.01700000000028</v>
      </c>
      <c r="BZ21" s="47">
        <v>257.73100000000113</v>
      </c>
      <c r="CA21" s="48">
        <v>472.74800000000141</v>
      </c>
      <c r="CB21" s="41">
        <v>651.34199999999998</v>
      </c>
      <c r="CC21" s="46"/>
      <c r="CD21" s="47"/>
      <c r="CE21" s="48"/>
      <c r="CF21" s="41">
        <v>900.14799999999991</v>
      </c>
      <c r="CG21" s="46">
        <v>281.52</v>
      </c>
      <c r="CH21" s="47">
        <v>466.31800000000021</v>
      </c>
      <c r="CI21" s="48">
        <v>747.83800000000019</v>
      </c>
      <c r="CJ21" s="41">
        <v>591.97800000000007</v>
      </c>
      <c r="CK21" s="46">
        <v>98.64999999999975</v>
      </c>
      <c r="CL21" s="47">
        <v>144.11599999999953</v>
      </c>
      <c r="CM21" s="48">
        <v>242.76599999999928</v>
      </c>
      <c r="CN21" s="41">
        <v>519.92100000000005</v>
      </c>
      <c r="CO21" s="46"/>
      <c r="CP21" s="47"/>
      <c r="CQ21" s="48">
        <v>0</v>
      </c>
      <c r="CR21" s="41">
        <v>443.291</v>
      </c>
      <c r="CS21" s="46">
        <v>42.062999999999988</v>
      </c>
      <c r="CT21" s="47">
        <v>103.08500000000072</v>
      </c>
      <c r="CU21" s="48">
        <v>145.14800000000071</v>
      </c>
      <c r="CV21" s="41">
        <v>591.97800000000007</v>
      </c>
      <c r="CW21" s="46"/>
      <c r="CX21" s="47"/>
      <c r="CY21" s="48"/>
      <c r="CZ21" s="41">
        <v>798.85</v>
      </c>
      <c r="DA21" s="46">
        <v>300.67</v>
      </c>
      <c r="DB21" s="47">
        <v>334.529</v>
      </c>
      <c r="DC21" s="49">
        <v>635.19900000000007</v>
      </c>
      <c r="DD21" s="41">
        <v>798.85</v>
      </c>
      <c r="DE21" s="46">
        <v>347.49400000000003</v>
      </c>
      <c r="DF21" s="47">
        <v>303.32199999999989</v>
      </c>
      <c r="DG21" s="48">
        <v>650.81599999999992</v>
      </c>
      <c r="DH21" s="41">
        <v>754.34041176899905</v>
      </c>
      <c r="DI21" s="46"/>
      <c r="DJ21" s="47"/>
      <c r="DK21" s="48">
        <v>0</v>
      </c>
      <c r="DL21" s="41">
        <v>754.34041176899905</v>
      </c>
      <c r="DM21" s="46">
        <v>288.13800000000003</v>
      </c>
      <c r="DN21" s="47">
        <v>424.63799999999986</v>
      </c>
      <c r="DO21" s="48">
        <v>712.77599999999984</v>
      </c>
      <c r="DP21" s="41">
        <f>DD21</f>
        <v>798.85</v>
      </c>
      <c r="DQ21" s="46"/>
      <c r="DR21" s="47"/>
      <c r="DS21" s="49"/>
      <c r="DT21" s="121"/>
    </row>
    <row r="22" spans="1:124" s="81" customFormat="1" ht="14.25" x14ac:dyDescent="0.2">
      <c r="A22" s="74" t="s">
        <v>114</v>
      </c>
      <c r="B22" s="75" t="s">
        <v>115</v>
      </c>
      <c r="C22" s="76" t="s">
        <v>96</v>
      </c>
      <c r="D22" s="52">
        <f t="shared" ref="D22:H22" si="16">D17-D18</f>
        <v>336217.13100000005</v>
      </c>
      <c r="E22" s="161">
        <f t="shared" si="16"/>
        <v>175720.52400000003</v>
      </c>
      <c r="F22" s="162">
        <f t="shared" si="16"/>
        <v>166559.32099999994</v>
      </c>
      <c r="G22" s="164">
        <f t="shared" si="16"/>
        <v>342279.84499999997</v>
      </c>
      <c r="H22" s="52">
        <f t="shared" si="16"/>
        <v>336217.13100000005</v>
      </c>
      <c r="I22" s="53">
        <f>I17-I18</f>
        <v>168923.73800000001</v>
      </c>
      <c r="J22" s="54">
        <f t="shared" ref="J22:K22" si="17">J17-J18</f>
        <v>167033.98299999995</v>
      </c>
      <c r="K22" s="59">
        <f t="shared" si="17"/>
        <v>335957.7209999999</v>
      </c>
      <c r="L22" s="52">
        <v>351831.30900000001</v>
      </c>
      <c r="M22" s="53">
        <f t="shared" ref="M22:O22" si="18">M17-M18</f>
        <v>0</v>
      </c>
      <c r="N22" s="54">
        <f t="shared" si="18"/>
        <v>0</v>
      </c>
      <c r="O22" s="59">
        <f t="shared" si="18"/>
        <v>0</v>
      </c>
      <c r="P22" s="52">
        <v>349129.50099999993</v>
      </c>
      <c r="Q22" s="53">
        <v>181947.61399999994</v>
      </c>
      <c r="R22" s="54">
        <v>198230.28700000001</v>
      </c>
      <c r="S22" s="59">
        <v>380177.90100000001</v>
      </c>
      <c r="T22" s="52">
        <v>336217.13100000005</v>
      </c>
      <c r="U22" s="53">
        <v>0</v>
      </c>
      <c r="V22" s="54">
        <v>0</v>
      </c>
      <c r="W22" s="59">
        <v>0</v>
      </c>
      <c r="X22" s="52">
        <v>34788.183999999994</v>
      </c>
      <c r="Y22" s="53">
        <v>16045.791999999998</v>
      </c>
      <c r="Z22" s="54">
        <v>15042.438000000002</v>
      </c>
      <c r="AA22" s="59">
        <v>31088.23</v>
      </c>
      <c r="AB22" s="52">
        <v>34788.183999999994</v>
      </c>
      <c r="AC22" s="59">
        <v>13422.249</v>
      </c>
      <c r="AD22" s="54">
        <v>12597.005000000001</v>
      </c>
      <c r="AE22" s="59">
        <v>26019.254000000001</v>
      </c>
      <c r="AF22" s="52">
        <v>33274.895000000004</v>
      </c>
      <c r="AG22" s="59">
        <v>0</v>
      </c>
      <c r="AH22" s="54">
        <v>0</v>
      </c>
      <c r="AI22" s="59">
        <v>0</v>
      </c>
      <c r="AJ22" s="52">
        <v>30088.780000000002</v>
      </c>
      <c r="AK22" s="59">
        <v>12820.322999999999</v>
      </c>
      <c r="AL22" s="54">
        <v>11446.530864199629</v>
      </c>
      <c r="AM22" s="59">
        <v>24266.853864199627</v>
      </c>
      <c r="AN22" s="52">
        <v>34788.183999999994</v>
      </c>
      <c r="AO22" s="53">
        <v>0</v>
      </c>
      <c r="AP22" s="54">
        <v>0</v>
      </c>
      <c r="AQ22" s="59">
        <v>0</v>
      </c>
      <c r="AR22" s="52">
        <v>11455.964000000004</v>
      </c>
      <c r="AS22" s="53">
        <v>5579.8130000000001</v>
      </c>
      <c r="AT22" s="54">
        <v>5374.2070000000012</v>
      </c>
      <c r="AU22" s="60">
        <v>10954.02</v>
      </c>
      <c r="AV22" s="52">
        <v>11455.964000000004</v>
      </c>
      <c r="AW22" s="59">
        <v>5063.2290000000012</v>
      </c>
      <c r="AX22" s="54">
        <v>4912.5879999999997</v>
      </c>
      <c r="AY22" s="60">
        <v>9975.8169999999991</v>
      </c>
      <c r="AZ22" s="52">
        <v>11212.646999999999</v>
      </c>
      <c r="BA22" s="59">
        <v>0</v>
      </c>
      <c r="BB22" s="54">
        <v>0</v>
      </c>
      <c r="BC22" s="59">
        <v>0</v>
      </c>
      <c r="BD22" s="52">
        <v>10734.207</v>
      </c>
      <c r="BE22" s="59">
        <v>5011.4550000000017</v>
      </c>
      <c r="BF22" s="54">
        <v>4507.8189999999995</v>
      </c>
      <c r="BG22" s="59">
        <v>9519.2740000000013</v>
      </c>
      <c r="BH22" s="52">
        <v>11455.964000000004</v>
      </c>
      <c r="BI22" s="53">
        <v>0</v>
      </c>
      <c r="BJ22" s="54">
        <v>0</v>
      </c>
      <c r="BK22" s="60">
        <v>0</v>
      </c>
      <c r="BL22" s="52">
        <v>22093.891000000003</v>
      </c>
      <c r="BM22" s="53">
        <v>10628.811000000002</v>
      </c>
      <c r="BN22" s="54">
        <v>9399.375</v>
      </c>
      <c r="BO22" s="59">
        <v>20028.185999999998</v>
      </c>
      <c r="BP22" s="52">
        <v>22093.891000000003</v>
      </c>
      <c r="BQ22" s="59">
        <v>9369.9260000000031</v>
      </c>
      <c r="BR22" s="54">
        <v>9477.7020000000011</v>
      </c>
      <c r="BS22" s="59">
        <v>18847.628000000004</v>
      </c>
      <c r="BT22" s="52">
        <v>21446.711999999992</v>
      </c>
      <c r="BU22" s="59">
        <v>0</v>
      </c>
      <c r="BV22" s="54">
        <v>0</v>
      </c>
      <c r="BW22" s="59">
        <v>0</v>
      </c>
      <c r="BX22" s="52">
        <v>20659.103000000003</v>
      </c>
      <c r="BY22" s="59">
        <v>9404.854000000003</v>
      </c>
      <c r="BZ22" s="54">
        <v>9857.4909999999982</v>
      </c>
      <c r="CA22" s="59">
        <v>19262.345000000001</v>
      </c>
      <c r="CB22" s="52">
        <v>22093.891000000003</v>
      </c>
      <c r="CC22" s="53">
        <v>0</v>
      </c>
      <c r="CD22" s="54">
        <v>0</v>
      </c>
      <c r="CE22" s="59">
        <v>0</v>
      </c>
      <c r="CF22" s="52">
        <v>16016.152000000004</v>
      </c>
      <c r="CG22" s="53">
        <v>6728.2900000000009</v>
      </c>
      <c r="CH22" s="54">
        <v>6828.878999999999</v>
      </c>
      <c r="CI22" s="59">
        <v>13557.169</v>
      </c>
      <c r="CJ22" s="52">
        <v>15092.192999999996</v>
      </c>
      <c r="CK22" s="59">
        <v>6662.9219999999996</v>
      </c>
      <c r="CL22" s="54">
        <v>7052.1580000000031</v>
      </c>
      <c r="CM22" s="59">
        <v>13715.080000000002</v>
      </c>
      <c r="CN22" s="52">
        <v>14384.48</v>
      </c>
      <c r="CO22" s="59">
        <v>0</v>
      </c>
      <c r="CP22" s="54">
        <v>0</v>
      </c>
      <c r="CQ22" s="59">
        <v>0</v>
      </c>
      <c r="CR22" s="52">
        <v>13949.361999999997</v>
      </c>
      <c r="CS22" s="59">
        <v>6226.2119999999995</v>
      </c>
      <c r="CT22" s="54">
        <v>6105.788999999997</v>
      </c>
      <c r="CU22" s="59">
        <v>12332.000999999998</v>
      </c>
      <c r="CV22" s="52">
        <v>15092.192999999996</v>
      </c>
      <c r="CW22" s="53">
        <v>0</v>
      </c>
      <c r="CX22" s="54">
        <v>0</v>
      </c>
      <c r="CY22" s="59">
        <v>0</v>
      </c>
      <c r="CZ22" s="52">
        <v>24883.516000000003</v>
      </c>
      <c r="DA22" s="53">
        <v>11819.007</v>
      </c>
      <c r="DB22" s="54">
        <v>11732.043999999998</v>
      </c>
      <c r="DC22" s="60">
        <v>23551.050999999996</v>
      </c>
      <c r="DD22" s="52">
        <v>24883.516000000003</v>
      </c>
      <c r="DE22" s="59">
        <v>11418.12</v>
      </c>
      <c r="DF22" s="54">
        <v>10862.278999999999</v>
      </c>
      <c r="DG22" s="59">
        <v>22280.399000000001</v>
      </c>
      <c r="DH22" s="52">
        <v>24496.774000000001</v>
      </c>
      <c r="DI22" s="59">
        <v>0</v>
      </c>
      <c r="DJ22" s="54">
        <v>0</v>
      </c>
      <c r="DK22" s="59">
        <v>0</v>
      </c>
      <c r="DL22" s="52">
        <v>24496.774000000001</v>
      </c>
      <c r="DM22" s="59">
        <v>11375.128000000001</v>
      </c>
      <c r="DN22" s="54">
        <v>11067.324000000002</v>
      </c>
      <c r="DO22" s="59">
        <v>22442.452000000005</v>
      </c>
      <c r="DP22" s="77">
        <f t="shared" ref="DP22:DS22" si="19">DP17-DP18</f>
        <v>24883.516000000003</v>
      </c>
      <c r="DQ22" s="78">
        <f t="shared" si="19"/>
        <v>0</v>
      </c>
      <c r="DR22" s="79">
        <f t="shared" si="19"/>
        <v>0</v>
      </c>
      <c r="DS22" s="80">
        <f t="shared" si="19"/>
        <v>0</v>
      </c>
      <c r="DT22" s="123"/>
    </row>
    <row r="23" spans="1:124" s="223" customFormat="1" ht="15" x14ac:dyDescent="0.2">
      <c r="A23" s="211"/>
      <c r="B23" s="212" t="s">
        <v>116</v>
      </c>
      <c r="C23" s="213"/>
      <c r="D23" s="214">
        <f t="shared" ref="D23:O23" si="20">D24+D31+D34</f>
        <v>336217.13099999999</v>
      </c>
      <c r="E23" s="215">
        <f t="shared" si="20"/>
        <v>175720.524</v>
      </c>
      <c r="F23" s="216">
        <f t="shared" si="20"/>
        <v>166559.32100000003</v>
      </c>
      <c r="G23" s="217">
        <f t="shared" si="20"/>
        <v>342279.84499999997</v>
      </c>
      <c r="H23" s="214">
        <f t="shared" si="20"/>
        <v>336217.13099999999</v>
      </c>
      <c r="I23" s="218">
        <f>I24+I31+I34</f>
        <v>168923.73799999998</v>
      </c>
      <c r="J23" s="219">
        <f t="shared" ref="J23:K23" si="21">J24+J31+J34</f>
        <v>167033.98300000001</v>
      </c>
      <c r="K23" s="220">
        <f t="shared" si="21"/>
        <v>335957.72100000002</v>
      </c>
      <c r="L23" s="214">
        <v>351831.30899999995</v>
      </c>
      <c r="M23" s="218">
        <f t="shared" si="20"/>
        <v>0</v>
      </c>
      <c r="N23" s="219">
        <f t="shared" si="20"/>
        <v>0</v>
      </c>
      <c r="O23" s="220">
        <f t="shared" si="20"/>
        <v>0</v>
      </c>
      <c r="P23" s="214">
        <v>349129.50199999998</v>
      </c>
      <c r="Q23" s="218">
        <v>181947.614</v>
      </c>
      <c r="R23" s="219">
        <v>198230.28699999998</v>
      </c>
      <c r="S23" s="220">
        <v>380177.90100000001</v>
      </c>
      <c r="T23" s="214">
        <v>264234.93700000003</v>
      </c>
      <c r="U23" s="218">
        <v>0</v>
      </c>
      <c r="V23" s="219">
        <v>0</v>
      </c>
      <c r="W23" s="220">
        <v>0</v>
      </c>
      <c r="X23" s="214">
        <v>34788.184000000001</v>
      </c>
      <c r="Y23" s="218">
        <v>16045.791999999999</v>
      </c>
      <c r="Z23" s="219">
        <v>15042.438</v>
      </c>
      <c r="AA23" s="220">
        <v>31088.23</v>
      </c>
      <c r="AB23" s="214">
        <v>3610.3330000000001</v>
      </c>
      <c r="AC23" s="218">
        <v>13422.249</v>
      </c>
      <c r="AD23" s="219">
        <v>12597.004999999999</v>
      </c>
      <c r="AE23" s="220">
        <v>26019.254000000001</v>
      </c>
      <c r="AF23" s="214">
        <v>33274.894999999997</v>
      </c>
      <c r="AG23" s="218">
        <v>0</v>
      </c>
      <c r="AH23" s="219">
        <v>0</v>
      </c>
      <c r="AI23" s="220">
        <v>0</v>
      </c>
      <c r="AJ23" s="214">
        <v>30088.780000000002</v>
      </c>
      <c r="AK23" s="218">
        <v>12820.323</v>
      </c>
      <c r="AL23" s="219">
        <v>11446.530999999999</v>
      </c>
      <c r="AM23" s="220">
        <v>24266.853999999999</v>
      </c>
      <c r="AN23" s="214">
        <v>3610.3330000000001</v>
      </c>
      <c r="AO23" s="218">
        <v>0</v>
      </c>
      <c r="AP23" s="219">
        <v>0</v>
      </c>
      <c r="AQ23" s="220">
        <v>0</v>
      </c>
      <c r="AR23" s="214">
        <v>11455.964</v>
      </c>
      <c r="AS23" s="218">
        <v>5579.8130000000001</v>
      </c>
      <c r="AT23" s="219">
        <v>5374.2070000000003</v>
      </c>
      <c r="AU23" s="221">
        <v>10954.02</v>
      </c>
      <c r="AV23" s="214">
        <v>11455.964</v>
      </c>
      <c r="AW23" s="218">
        <v>5063.2290000000003</v>
      </c>
      <c r="AX23" s="219">
        <v>4912.5880000000006</v>
      </c>
      <c r="AY23" s="221">
        <v>9975.8170000000009</v>
      </c>
      <c r="AZ23" s="214">
        <v>11212.647000000001</v>
      </c>
      <c r="BA23" s="218">
        <v>0</v>
      </c>
      <c r="BB23" s="219">
        <v>0</v>
      </c>
      <c r="BC23" s="220">
        <v>0</v>
      </c>
      <c r="BD23" s="214">
        <v>10734.207</v>
      </c>
      <c r="BE23" s="218">
        <v>5011.4549999999999</v>
      </c>
      <c r="BF23" s="219">
        <v>4507.8189999999995</v>
      </c>
      <c r="BG23" s="220">
        <v>9519.2739999999994</v>
      </c>
      <c r="BH23" s="214">
        <v>11455.964</v>
      </c>
      <c r="BI23" s="218">
        <v>0</v>
      </c>
      <c r="BJ23" s="219">
        <v>0</v>
      </c>
      <c r="BK23" s="221">
        <v>0</v>
      </c>
      <c r="BL23" s="214">
        <v>22093.891000000003</v>
      </c>
      <c r="BM23" s="218">
        <v>10628.811</v>
      </c>
      <c r="BN23" s="219">
        <v>9399.3750000000018</v>
      </c>
      <c r="BO23" s="220">
        <v>20028.186000000002</v>
      </c>
      <c r="BP23" s="214">
        <v>22093.891000000003</v>
      </c>
      <c r="BQ23" s="218">
        <v>9369.9259999999995</v>
      </c>
      <c r="BR23" s="219">
        <v>9477.7020000000011</v>
      </c>
      <c r="BS23" s="220">
        <v>18847.628000000001</v>
      </c>
      <c r="BT23" s="214">
        <v>21446.712000000003</v>
      </c>
      <c r="BU23" s="218">
        <v>0</v>
      </c>
      <c r="BV23" s="219">
        <v>0</v>
      </c>
      <c r="BW23" s="220">
        <v>0</v>
      </c>
      <c r="BX23" s="214">
        <v>20659.102999999999</v>
      </c>
      <c r="BY23" s="218">
        <v>9404.8539999999994</v>
      </c>
      <c r="BZ23" s="219">
        <v>9857.4910000000018</v>
      </c>
      <c r="CA23" s="220">
        <v>19262.345000000001</v>
      </c>
      <c r="CB23" s="214">
        <v>17915.247000000003</v>
      </c>
      <c r="CC23" s="218">
        <v>0</v>
      </c>
      <c r="CD23" s="219">
        <v>0</v>
      </c>
      <c r="CE23" s="220">
        <v>0</v>
      </c>
      <c r="CF23" s="214">
        <v>16016.152000000002</v>
      </c>
      <c r="CG23" s="218">
        <v>6728.29</v>
      </c>
      <c r="CH23" s="219">
        <v>6828.8789999999999</v>
      </c>
      <c r="CI23" s="220">
        <v>13557.169</v>
      </c>
      <c r="CJ23" s="214">
        <v>15092.193000000001</v>
      </c>
      <c r="CK23" s="218">
        <v>6662.9220000000005</v>
      </c>
      <c r="CL23" s="219">
        <v>7052.1579999999994</v>
      </c>
      <c r="CM23" s="220">
        <v>13715.08</v>
      </c>
      <c r="CN23" s="214">
        <v>14384.48</v>
      </c>
      <c r="CO23" s="218">
        <v>0</v>
      </c>
      <c r="CP23" s="219">
        <v>0</v>
      </c>
      <c r="CQ23" s="220">
        <v>0</v>
      </c>
      <c r="CR23" s="214">
        <v>13949.361999999999</v>
      </c>
      <c r="CS23" s="218">
        <v>6226.2119999999995</v>
      </c>
      <c r="CT23" s="219">
        <v>6105.7890000000007</v>
      </c>
      <c r="CU23" s="220">
        <v>12332.001</v>
      </c>
      <c r="CV23" s="214">
        <v>8836.8590000000022</v>
      </c>
      <c r="CW23" s="218">
        <v>0</v>
      </c>
      <c r="CX23" s="219">
        <v>0</v>
      </c>
      <c r="CY23" s="220">
        <v>0</v>
      </c>
      <c r="CZ23" s="214">
        <v>24883.511999999999</v>
      </c>
      <c r="DA23" s="218">
        <v>11819.007</v>
      </c>
      <c r="DB23" s="219">
        <v>11732.044</v>
      </c>
      <c r="DC23" s="221">
        <v>23551.050999999999</v>
      </c>
      <c r="DD23" s="214">
        <v>24883.511999999999</v>
      </c>
      <c r="DE23" s="218">
        <v>11418.12</v>
      </c>
      <c r="DF23" s="219">
        <v>10862.279</v>
      </c>
      <c r="DG23" s="220">
        <v>22280.399000000001</v>
      </c>
      <c r="DH23" s="214">
        <v>24496.774000000001</v>
      </c>
      <c r="DI23" s="218">
        <v>0</v>
      </c>
      <c r="DJ23" s="219">
        <v>0</v>
      </c>
      <c r="DK23" s="220">
        <v>0</v>
      </c>
      <c r="DL23" s="214">
        <v>24496.774000000001</v>
      </c>
      <c r="DM23" s="218">
        <v>11375.128000000001</v>
      </c>
      <c r="DN23" s="219">
        <v>11067.324000000001</v>
      </c>
      <c r="DO23" s="220">
        <v>22442.452000000001</v>
      </c>
      <c r="DP23" s="214">
        <f t="shared" ref="DP23:DS23" si="22">DP24+DP31+DP34</f>
        <v>1317.9959999999999</v>
      </c>
      <c r="DQ23" s="218">
        <f t="shared" si="22"/>
        <v>0</v>
      </c>
      <c r="DR23" s="219">
        <f t="shared" si="22"/>
        <v>0</v>
      </c>
      <c r="DS23" s="221">
        <f t="shared" si="22"/>
        <v>0</v>
      </c>
      <c r="DT23" s="222"/>
    </row>
    <row r="24" spans="1:124" s="61" customFormat="1" ht="14.25" x14ac:dyDescent="0.2">
      <c r="A24" s="82" t="s">
        <v>117</v>
      </c>
      <c r="B24" s="83" t="s">
        <v>118</v>
      </c>
      <c r="C24" s="84" t="s">
        <v>96</v>
      </c>
      <c r="D24" s="85">
        <f t="shared" ref="D24:K24" si="23">D25+D28</f>
        <v>260299.864</v>
      </c>
      <c r="E24" s="169">
        <f t="shared" si="23"/>
        <v>141054.50899999999</v>
      </c>
      <c r="F24" s="170">
        <f t="shared" si="23"/>
        <v>136714.09700000004</v>
      </c>
      <c r="G24" s="163">
        <f t="shared" si="23"/>
        <v>277768.60600000003</v>
      </c>
      <c r="H24" s="52">
        <f t="shared" si="23"/>
        <v>260299.864</v>
      </c>
      <c r="I24" s="86">
        <f t="shared" si="23"/>
        <v>139909.05499999999</v>
      </c>
      <c r="J24" s="87">
        <f t="shared" si="23"/>
        <v>136179.38500000001</v>
      </c>
      <c r="K24" s="55">
        <f t="shared" si="23"/>
        <v>276088.44</v>
      </c>
      <c r="L24" s="52">
        <v>278417.87699999998</v>
      </c>
      <c r="M24" s="86">
        <f t="shared" ref="M24:O24" si="24">M25+M28</f>
        <v>0</v>
      </c>
      <c r="N24" s="87">
        <f t="shared" si="24"/>
        <v>0</v>
      </c>
      <c r="O24" s="55">
        <f t="shared" si="24"/>
        <v>0</v>
      </c>
      <c r="P24" s="52">
        <v>281540.245</v>
      </c>
      <c r="Q24" s="86">
        <v>143811.625</v>
      </c>
      <c r="R24" s="87">
        <v>144970.87599999999</v>
      </c>
      <c r="S24" s="55">
        <v>288782.50099999999</v>
      </c>
      <c r="T24" s="52">
        <v>225679.98199999999</v>
      </c>
      <c r="U24" s="86">
        <v>0</v>
      </c>
      <c r="V24" s="87">
        <v>0</v>
      </c>
      <c r="W24" s="55">
        <v>0</v>
      </c>
      <c r="X24" s="85">
        <v>31177.851000000002</v>
      </c>
      <c r="Y24" s="86">
        <v>14657.791999999999</v>
      </c>
      <c r="Z24" s="87">
        <v>13948.438</v>
      </c>
      <c r="AA24" s="55">
        <v>28606.23</v>
      </c>
      <c r="AB24" s="52">
        <v>0</v>
      </c>
      <c r="AC24" s="86">
        <v>12236.249</v>
      </c>
      <c r="AD24" s="87">
        <v>11712.004999999999</v>
      </c>
      <c r="AE24" s="55">
        <v>23948.254000000001</v>
      </c>
      <c r="AF24" s="52">
        <v>30060.227999999999</v>
      </c>
      <c r="AG24" s="86">
        <v>0</v>
      </c>
      <c r="AH24" s="87">
        <v>0</v>
      </c>
      <c r="AI24" s="55">
        <v>0</v>
      </c>
      <c r="AJ24" s="52">
        <v>27659.113000000001</v>
      </c>
      <c r="AK24" s="86">
        <v>11534.323</v>
      </c>
      <c r="AL24" s="87">
        <v>10459.530999999999</v>
      </c>
      <c r="AM24" s="55">
        <v>21993.853999999999</v>
      </c>
      <c r="AN24" s="52">
        <v>0</v>
      </c>
      <c r="AO24" s="86">
        <v>0</v>
      </c>
      <c r="AP24" s="87">
        <v>0</v>
      </c>
      <c r="AQ24" s="55">
        <v>0</v>
      </c>
      <c r="AR24" s="85">
        <v>10410.964</v>
      </c>
      <c r="AS24" s="86">
        <v>5042.8130000000001</v>
      </c>
      <c r="AT24" s="87">
        <v>5036.2070000000003</v>
      </c>
      <c r="AU24" s="56">
        <v>10079.02</v>
      </c>
      <c r="AV24" s="52">
        <v>10410.964</v>
      </c>
      <c r="AW24" s="86">
        <v>4804.2290000000003</v>
      </c>
      <c r="AX24" s="87">
        <v>4547.759</v>
      </c>
      <c r="AY24" s="56">
        <v>9351.9880000000012</v>
      </c>
      <c r="AZ24" s="52">
        <v>10201.647000000001</v>
      </c>
      <c r="BA24" s="86">
        <v>0</v>
      </c>
      <c r="BB24" s="87">
        <v>0</v>
      </c>
      <c r="BC24" s="55">
        <v>0</v>
      </c>
      <c r="BD24" s="52">
        <v>9862.2639999999992</v>
      </c>
      <c r="BE24" s="86">
        <v>4651.2889999999998</v>
      </c>
      <c r="BF24" s="87">
        <v>4197.2159999999994</v>
      </c>
      <c r="BG24" s="55">
        <v>8848.5049999999992</v>
      </c>
      <c r="BH24" s="52">
        <v>10410.964</v>
      </c>
      <c r="BI24" s="86">
        <v>0</v>
      </c>
      <c r="BJ24" s="87">
        <v>0</v>
      </c>
      <c r="BK24" s="56">
        <v>0</v>
      </c>
      <c r="BL24" s="85">
        <v>18128.589000000004</v>
      </c>
      <c r="BM24" s="86">
        <v>8847.3109999999997</v>
      </c>
      <c r="BN24" s="87">
        <v>8336.3750000000018</v>
      </c>
      <c r="BO24" s="55">
        <v>17183.686000000002</v>
      </c>
      <c r="BP24" s="52">
        <v>18128.589000000004</v>
      </c>
      <c r="BQ24" s="86">
        <v>8523.9259999999995</v>
      </c>
      <c r="BR24" s="87">
        <v>8310.2020000000011</v>
      </c>
      <c r="BS24" s="55">
        <v>16834.128000000001</v>
      </c>
      <c r="BT24" s="52">
        <v>17954.112000000001</v>
      </c>
      <c r="BU24" s="86">
        <v>0</v>
      </c>
      <c r="BV24" s="87">
        <v>0</v>
      </c>
      <c r="BW24" s="55">
        <v>0</v>
      </c>
      <c r="BX24" s="52">
        <v>17572.751</v>
      </c>
      <c r="BY24" s="86">
        <v>8551.3539999999994</v>
      </c>
      <c r="BZ24" s="87">
        <v>8815.4910000000018</v>
      </c>
      <c r="CA24" s="55">
        <v>17366.845000000001</v>
      </c>
      <c r="CB24" s="52">
        <v>17095.260000000002</v>
      </c>
      <c r="CC24" s="86">
        <v>0</v>
      </c>
      <c r="CD24" s="87">
        <v>0</v>
      </c>
      <c r="CE24" s="55">
        <v>0</v>
      </c>
      <c r="CF24" s="85">
        <v>12713.486000000001</v>
      </c>
      <c r="CG24" s="86">
        <v>4731.29</v>
      </c>
      <c r="CH24" s="87">
        <v>4161.8789999999999</v>
      </c>
      <c r="CI24" s="55">
        <v>8893.1689999999999</v>
      </c>
      <c r="CJ24" s="52">
        <v>11499.526000000002</v>
      </c>
      <c r="CK24" s="86">
        <v>4064.9220000000005</v>
      </c>
      <c r="CL24" s="87">
        <v>3870.1579999999999</v>
      </c>
      <c r="CM24" s="55">
        <v>7935.08</v>
      </c>
      <c r="CN24" s="52">
        <v>10267.48</v>
      </c>
      <c r="CO24" s="86">
        <v>0</v>
      </c>
      <c r="CP24" s="87">
        <v>0</v>
      </c>
      <c r="CQ24" s="55">
        <v>0</v>
      </c>
      <c r="CR24" s="52">
        <v>9117.5509999999995</v>
      </c>
      <c r="CS24" s="86">
        <v>3310.212</v>
      </c>
      <c r="CT24" s="87">
        <v>3562.7890000000002</v>
      </c>
      <c r="CU24" s="55">
        <v>6873.0010000000002</v>
      </c>
      <c r="CV24" s="52">
        <v>8811.5260000000017</v>
      </c>
      <c r="CW24" s="86">
        <v>0</v>
      </c>
      <c r="CX24" s="87">
        <v>0</v>
      </c>
      <c r="CY24" s="55">
        <v>0</v>
      </c>
      <c r="CZ24" s="85">
        <v>23565.516</v>
      </c>
      <c r="DA24" s="86">
        <v>11127.007</v>
      </c>
      <c r="DB24" s="87">
        <v>11108.044</v>
      </c>
      <c r="DC24" s="56">
        <v>22235.050999999999</v>
      </c>
      <c r="DD24" s="52">
        <v>23565.516</v>
      </c>
      <c r="DE24" s="86">
        <v>10968.12</v>
      </c>
      <c r="DF24" s="87">
        <v>10157.279</v>
      </c>
      <c r="DG24" s="55">
        <v>21125.399000000001</v>
      </c>
      <c r="DH24" s="52">
        <v>23160.774000000001</v>
      </c>
      <c r="DI24" s="86">
        <v>0</v>
      </c>
      <c r="DJ24" s="87">
        <v>0</v>
      </c>
      <c r="DK24" s="55">
        <v>0</v>
      </c>
      <c r="DL24" s="52">
        <v>23160.774000000001</v>
      </c>
      <c r="DM24" s="86">
        <v>10322.128000000001</v>
      </c>
      <c r="DN24" s="87">
        <v>10079.324000000001</v>
      </c>
      <c r="DO24" s="55">
        <v>20401.452000000001</v>
      </c>
      <c r="DP24" s="52">
        <f t="shared" ref="DP24:DS24" si="25">DP25+DP28</f>
        <v>0</v>
      </c>
      <c r="DQ24" s="86">
        <f t="shared" si="25"/>
        <v>0</v>
      </c>
      <c r="DR24" s="87">
        <f t="shared" si="25"/>
        <v>0</v>
      </c>
      <c r="DS24" s="56">
        <f t="shared" si="25"/>
        <v>0</v>
      </c>
      <c r="DT24" s="122"/>
    </row>
    <row r="25" spans="1:124" s="25" customFormat="1" ht="15.75" customHeight="1" x14ac:dyDescent="0.2">
      <c r="A25" s="43"/>
      <c r="B25" s="63" t="s">
        <v>119</v>
      </c>
      <c r="C25" s="45" t="s">
        <v>96</v>
      </c>
      <c r="D25" s="41">
        <v>260299.864</v>
      </c>
      <c r="E25" s="158">
        <f t="shared" ref="E25:K25" si="26">E26+E27</f>
        <v>141054.50899999999</v>
      </c>
      <c r="F25" s="159">
        <f t="shared" si="26"/>
        <v>136714.09700000004</v>
      </c>
      <c r="G25" s="171">
        <f t="shared" si="26"/>
        <v>277768.60600000003</v>
      </c>
      <c r="H25" s="41">
        <f t="shared" si="26"/>
        <v>260299.864</v>
      </c>
      <c r="I25" s="46">
        <f t="shared" si="26"/>
        <v>139909.05499999999</v>
      </c>
      <c r="J25" s="47">
        <f t="shared" si="26"/>
        <v>136179.38500000001</v>
      </c>
      <c r="K25" s="88">
        <f t="shared" si="26"/>
        <v>276088.44</v>
      </c>
      <c r="L25" s="41">
        <v>278417.87699999998</v>
      </c>
      <c r="M25" s="46">
        <f t="shared" ref="M25:O25" si="27">M26+M27</f>
        <v>0</v>
      </c>
      <c r="N25" s="47">
        <f t="shared" si="27"/>
        <v>0</v>
      </c>
      <c r="O25" s="88">
        <f t="shared" si="27"/>
        <v>0</v>
      </c>
      <c r="P25" s="41">
        <v>281540.245</v>
      </c>
      <c r="Q25" s="46">
        <v>143811.625</v>
      </c>
      <c r="R25" s="47">
        <v>144970.87599999999</v>
      </c>
      <c r="S25" s="88">
        <v>288782.50099999999</v>
      </c>
      <c r="T25" s="41">
        <v>225679.98199999999</v>
      </c>
      <c r="U25" s="46">
        <v>0</v>
      </c>
      <c r="V25" s="47">
        <v>0</v>
      </c>
      <c r="W25" s="88">
        <v>0</v>
      </c>
      <c r="X25" s="41"/>
      <c r="Y25" s="46"/>
      <c r="Z25" s="47"/>
      <c r="AA25" s="88"/>
      <c r="AB25" s="41"/>
      <c r="AC25" s="46"/>
      <c r="AD25" s="47"/>
      <c r="AE25" s="88"/>
      <c r="AF25" s="41"/>
      <c r="AG25" s="46"/>
      <c r="AH25" s="47"/>
      <c r="AI25" s="88"/>
      <c r="AJ25" s="41"/>
      <c r="AK25" s="46"/>
      <c r="AL25" s="47"/>
      <c r="AM25" s="88"/>
      <c r="AN25" s="41"/>
      <c r="AO25" s="46">
        <v>0</v>
      </c>
      <c r="AP25" s="47">
        <v>0</v>
      </c>
      <c r="AQ25" s="88">
        <v>0</v>
      </c>
      <c r="AR25" s="41"/>
      <c r="AS25" s="46"/>
      <c r="AT25" s="47"/>
      <c r="AU25" s="89"/>
      <c r="AV25" s="41"/>
      <c r="AW25" s="46"/>
      <c r="AX25" s="47"/>
      <c r="AY25" s="89"/>
      <c r="AZ25" s="41"/>
      <c r="BA25" s="46"/>
      <c r="BB25" s="47"/>
      <c r="BC25" s="88"/>
      <c r="BD25" s="41"/>
      <c r="BE25" s="46"/>
      <c r="BF25" s="47"/>
      <c r="BG25" s="88"/>
      <c r="BH25" s="41"/>
      <c r="BI25" s="46">
        <v>0</v>
      </c>
      <c r="BJ25" s="47">
        <v>0</v>
      </c>
      <c r="BK25" s="89">
        <v>0</v>
      </c>
      <c r="BL25" s="41"/>
      <c r="BM25" s="46"/>
      <c r="BN25" s="47"/>
      <c r="BO25" s="88"/>
      <c r="BP25" s="41"/>
      <c r="BQ25" s="46"/>
      <c r="BR25" s="47"/>
      <c r="BS25" s="88"/>
      <c r="BT25" s="41"/>
      <c r="BU25" s="46"/>
      <c r="BV25" s="47"/>
      <c r="BW25" s="88"/>
      <c r="BX25" s="41"/>
      <c r="BY25" s="46"/>
      <c r="BZ25" s="47"/>
      <c r="CA25" s="88"/>
      <c r="CB25" s="41"/>
      <c r="CC25" s="46">
        <v>0</v>
      </c>
      <c r="CD25" s="47">
        <v>0</v>
      </c>
      <c r="CE25" s="88">
        <v>0</v>
      </c>
      <c r="CF25" s="41"/>
      <c r="CG25" s="46"/>
      <c r="CH25" s="47"/>
      <c r="CI25" s="88"/>
      <c r="CJ25" s="41"/>
      <c r="CK25" s="46"/>
      <c r="CL25" s="47"/>
      <c r="CM25" s="88"/>
      <c r="CN25" s="41"/>
      <c r="CO25" s="46"/>
      <c r="CP25" s="47"/>
      <c r="CQ25" s="88"/>
      <c r="CR25" s="41"/>
      <c r="CS25" s="46"/>
      <c r="CT25" s="47"/>
      <c r="CU25" s="88"/>
      <c r="CV25" s="41"/>
      <c r="CW25" s="46">
        <v>0</v>
      </c>
      <c r="CX25" s="47">
        <v>0</v>
      </c>
      <c r="CY25" s="88">
        <v>0</v>
      </c>
      <c r="CZ25" s="41"/>
      <c r="DA25" s="46"/>
      <c r="DB25" s="47"/>
      <c r="DC25" s="89"/>
      <c r="DD25" s="41"/>
      <c r="DE25" s="46"/>
      <c r="DF25" s="47"/>
      <c r="DG25" s="88"/>
      <c r="DH25" s="41"/>
      <c r="DI25" s="46"/>
      <c r="DJ25" s="47"/>
      <c r="DK25" s="88"/>
      <c r="DL25" s="41"/>
      <c r="DM25" s="46"/>
      <c r="DN25" s="47"/>
      <c r="DO25" s="88"/>
      <c r="DP25" s="41"/>
      <c r="DQ25" s="46">
        <f>DQ26+DQ27</f>
        <v>0</v>
      </c>
      <c r="DR25" s="47">
        <f>DR26+DR27</f>
        <v>0</v>
      </c>
      <c r="DS25" s="89">
        <f>DS26+DS27</f>
        <v>0</v>
      </c>
      <c r="DT25" s="121"/>
    </row>
    <row r="26" spans="1:124" s="25" customFormat="1" ht="15" x14ac:dyDescent="0.2">
      <c r="A26" s="34"/>
      <c r="B26" s="90" t="s">
        <v>120</v>
      </c>
      <c r="C26" s="36" t="s">
        <v>96</v>
      </c>
      <c r="D26" s="37">
        <v>34619.881999999998</v>
      </c>
      <c r="E26" s="155">
        <v>20290.195</v>
      </c>
      <c r="F26" s="156">
        <v>20195.027999999998</v>
      </c>
      <c r="G26" s="171">
        <f>E26+F26</f>
        <v>40485.222999999998</v>
      </c>
      <c r="H26" s="41">
        <f>D26</f>
        <v>34619.881999999998</v>
      </c>
      <c r="I26" s="38">
        <v>25560.124</v>
      </c>
      <c r="J26" s="39">
        <v>24096.405999999999</v>
      </c>
      <c r="K26" s="88">
        <f>I26+J26</f>
        <v>49656.53</v>
      </c>
      <c r="L26" s="41">
        <v>37029.578000000001</v>
      </c>
      <c r="M26" s="38"/>
      <c r="N26" s="39"/>
      <c r="O26" s="88">
        <f>M26+N26</f>
        <v>0</v>
      </c>
      <c r="P26" s="41">
        <v>37444.853000000003</v>
      </c>
      <c r="Q26" s="38">
        <v>37250.528999999995</v>
      </c>
      <c r="R26" s="39">
        <v>26543.856999999989</v>
      </c>
      <c r="S26" s="88">
        <v>63794.385999999984</v>
      </c>
      <c r="T26" s="41"/>
      <c r="U26" s="38"/>
      <c r="V26" s="39"/>
      <c r="W26" s="88"/>
      <c r="X26" s="37"/>
      <c r="Y26" s="46"/>
      <c r="Z26" s="47"/>
      <c r="AA26" s="48"/>
      <c r="AB26" s="41"/>
      <c r="AC26" s="46"/>
      <c r="AD26" s="47"/>
      <c r="AE26" s="48"/>
      <c r="AF26" s="41"/>
      <c r="AG26" s="46"/>
      <c r="AH26" s="47"/>
      <c r="AI26" s="48"/>
      <c r="AJ26" s="41"/>
      <c r="AK26" s="46"/>
      <c r="AL26" s="47"/>
      <c r="AM26" s="48"/>
      <c r="AN26" s="41"/>
      <c r="AO26" s="38"/>
      <c r="AP26" s="39"/>
      <c r="AQ26" s="88"/>
      <c r="AR26" s="37"/>
      <c r="AS26" s="38"/>
      <c r="AT26" s="39"/>
      <c r="AU26" s="89"/>
      <c r="AV26" s="41"/>
      <c r="AW26" s="38"/>
      <c r="AX26" s="39"/>
      <c r="AY26" s="89"/>
      <c r="AZ26" s="41"/>
      <c r="BA26" s="38"/>
      <c r="BB26" s="39"/>
      <c r="BC26" s="88"/>
      <c r="BD26" s="41"/>
      <c r="BE26" s="38"/>
      <c r="BF26" s="39"/>
      <c r="BG26" s="88"/>
      <c r="BH26" s="41"/>
      <c r="BI26" s="38"/>
      <c r="BJ26" s="39"/>
      <c r="BK26" s="89"/>
      <c r="BL26" s="37"/>
      <c r="BM26" s="38"/>
      <c r="BN26" s="39"/>
      <c r="BO26" s="88"/>
      <c r="BP26" s="41"/>
      <c r="BQ26" s="38"/>
      <c r="BR26" s="39"/>
      <c r="BS26" s="88"/>
      <c r="BT26" s="41"/>
      <c r="BU26" s="38"/>
      <c r="BV26" s="39"/>
      <c r="BW26" s="88"/>
      <c r="BX26" s="41"/>
      <c r="BY26" s="38"/>
      <c r="BZ26" s="39"/>
      <c r="CA26" s="88"/>
      <c r="CB26" s="41"/>
      <c r="CC26" s="38"/>
      <c r="CD26" s="39"/>
      <c r="CE26" s="88"/>
      <c r="CF26" s="37"/>
      <c r="CG26" s="38"/>
      <c r="CH26" s="39"/>
      <c r="CI26" s="88"/>
      <c r="CJ26" s="41"/>
      <c r="CK26" s="38"/>
      <c r="CL26" s="39"/>
      <c r="CM26" s="88"/>
      <c r="CN26" s="41"/>
      <c r="CO26" s="38"/>
      <c r="CP26" s="39"/>
      <c r="CQ26" s="88"/>
      <c r="CR26" s="41"/>
      <c r="CS26" s="38"/>
      <c r="CT26" s="39"/>
      <c r="CU26" s="88"/>
      <c r="CV26" s="41"/>
      <c r="CW26" s="38"/>
      <c r="CX26" s="39"/>
      <c r="CY26" s="88"/>
      <c r="CZ26" s="37"/>
      <c r="DA26" s="38"/>
      <c r="DB26" s="39"/>
      <c r="DC26" s="89"/>
      <c r="DD26" s="41"/>
      <c r="DE26" s="38"/>
      <c r="DF26" s="39"/>
      <c r="DG26" s="88"/>
      <c r="DH26" s="41"/>
      <c r="DI26" s="38"/>
      <c r="DJ26" s="39"/>
      <c r="DK26" s="88"/>
      <c r="DL26" s="41"/>
      <c r="DM26" s="38"/>
      <c r="DN26" s="39"/>
      <c r="DO26" s="88"/>
      <c r="DP26" s="41"/>
      <c r="DQ26" s="38"/>
      <c r="DR26" s="39"/>
      <c r="DS26" s="89"/>
      <c r="DT26" s="121"/>
    </row>
    <row r="27" spans="1:124" s="25" customFormat="1" ht="15" x14ac:dyDescent="0.2">
      <c r="A27" s="43"/>
      <c r="B27" s="44" t="s">
        <v>121</v>
      </c>
      <c r="C27" s="45" t="s">
        <v>96</v>
      </c>
      <c r="D27" s="41">
        <v>225679.98199999999</v>
      </c>
      <c r="E27" s="158">
        <v>120764.31399999998</v>
      </c>
      <c r="F27" s="159">
        <v>116519.06900000005</v>
      </c>
      <c r="G27" s="157">
        <f>E27+F27</f>
        <v>237283.38300000003</v>
      </c>
      <c r="H27" s="41">
        <f>D27</f>
        <v>225679.98199999999</v>
      </c>
      <c r="I27" s="46">
        <v>114348.931</v>
      </c>
      <c r="J27" s="47">
        <v>112082.97900000001</v>
      </c>
      <c r="K27" s="40">
        <f>I27+J27</f>
        <v>226431.91</v>
      </c>
      <c r="L27" s="41">
        <v>241388.29899999997</v>
      </c>
      <c r="M27" s="46"/>
      <c r="N27" s="47"/>
      <c r="O27" s="40">
        <f>M27+N27</f>
        <v>0</v>
      </c>
      <c r="P27" s="41">
        <v>244095.39199999999</v>
      </c>
      <c r="Q27" s="46">
        <v>106561.09600000001</v>
      </c>
      <c r="R27" s="47">
        <v>118427.019</v>
      </c>
      <c r="S27" s="40">
        <v>224988.11499999999</v>
      </c>
      <c r="T27" s="41">
        <v>225679.98199999999</v>
      </c>
      <c r="U27" s="46"/>
      <c r="V27" s="47"/>
      <c r="W27" s="40"/>
      <c r="X27" s="41"/>
      <c r="Y27" s="46"/>
      <c r="Z27" s="47"/>
      <c r="AA27" s="48"/>
      <c r="AB27" s="41"/>
      <c r="AC27" s="46"/>
      <c r="AD27" s="47"/>
      <c r="AE27" s="48"/>
      <c r="AF27" s="41"/>
      <c r="AG27" s="46"/>
      <c r="AH27" s="47"/>
      <c r="AI27" s="48"/>
      <c r="AJ27" s="41"/>
      <c r="AK27" s="46"/>
      <c r="AL27" s="47"/>
      <c r="AM27" s="48"/>
      <c r="AN27" s="41"/>
      <c r="AO27" s="46"/>
      <c r="AP27" s="47"/>
      <c r="AQ27" s="40"/>
      <c r="AR27" s="41"/>
      <c r="AS27" s="46"/>
      <c r="AT27" s="47"/>
      <c r="AU27" s="42"/>
      <c r="AV27" s="41"/>
      <c r="AW27" s="46"/>
      <c r="AX27" s="47"/>
      <c r="AY27" s="42"/>
      <c r="AZ27" s="41"/>
      <c r="BA27" s="46"/>
      <c r="BB27" s="47"/>
      <c r="BC27" s="40"/>
      <c r="BD27" s="41"/>
      <c r="BE27" s="46"/>
      <c r="BF27" s="47"/>
      <c r="BG27" s="40"/>
      <c r="BH27" s="41"/>
      <c r="BI27" s="46"/>
      <c r="BJ27" s="47"/>
      <c r="BK27" s="42"/>
      <c r="BL27" s="41"/>
      <c r="BM27" s="46"/>
      <c r="BN27" s="47"/>
      <c r="BO27" s="40"/>
      <c r="BP27" s="41"/>
      <c r="BQ27" s="46"/>
      <c r="BR27" s="47"/>
      <c r="BS27" s="40"/>
      <c r="BT27" s="41"/>
      <c r="BU27" s="46"/>
      <c r="BV27" s="47"/>
      <c r="BW27" s="40"/>
      <c r="BX27" s="41"/>
      <c r="BY27" s="46"/>
      <c r="BZ27" s="47"/>
      <c r="CA27" s="40"/>
      <c r="CB27" s="41"/>
      <c r="CC27" s="46"/>
      <c r="CD27" s="47"/>
      <c r="CE27" s="40"/>
      <c r="CF27" s="41"/>
      <c r="CG27" s="46"/>
      <c r="CH27" s="47"/>
      <c r="CI27" s="40"/>
      <c r="CJ27" s="41"/>
      <c r="CK27" s="46"/>
      <c r="CL27" s="47"/>
      <c r="CM27" s="40"/>
      <c r="CN27" s="41"/>
      <c r="CO27" s="46"/>
      <c r="CP27" s="47"/>
      <c r="CQ27" s="40"/>
      <c r="CR27" s="41"/>
      <c r="CS27" s="46"/>
      <c r="CT27" s="47"/>
      <c r="CU27" s="40"/>
      <c r="CV27" s="41"/>
      <c r="CW27" s="46"/>
      <c r="CX27" s="47"/>
      <c r="CY27" s="40"/>
      <c r="CZ27" s="41"/>
      <c r="DA27" s="46"/>
      <c r="DB27" s="47"/>
      <c r="DC27" s="42"/>
      <c r="DD27" s="41"/>
      <c r="DE27" s="46"/>
      <c r="DF27" s="47"/>
      <c r="DG27" s="40"/>
      <c r="DH27" s="41"/>
      <c r="DI27" s="46"/>
      <c r="DJ27" s="47"/>
      <c r="DK27" s="40"/>
      <c r="DL27" s="41"/>
      <c r="DM27" s="46"/>
      <c r="DN27" s="47"/>
      <c r="DO27" s="40"/>
      <c r="DP27" s="41"/>
      <c r="DQ27" s="46"/>
      <c r="DR27" s="47"/>
      <c r="DS27" s="42"/>
      <c r="DT27" s="121"/>
    </row>
    <row r="28" spans="1:124" s="61" customFormat="1" ht="14.25" x14ac:dyDescent="0.2">
      <c r="A28" s="50" t="s">
        <v>122</v>
      </c>
      <c r="B28" s="151" t="s">
        <v>123</v>
      </c>
      <c r="C28" s="58" t="s">
        <v>96</v>
      </c>
      <c r="D28" s="52"/>
      <c r="E28" s="161"/>
      <c r="F28" s="162"/>
      <c r="G28" s="163"/>
      <c r="H28" s="52"/>
      <c r="I28" s="53"/>
      <c r="J28" s="54"/>
      <c r="K28" s="55"/>
      <c r="L28" s="52"/>
      <c r="M28" s="53"/>
      <c r="N28" s="54"/>
      <c r="O28" s="55"/>
      <c r="P28" s="52"/>
      <c r="Q28" s="53"/>
      <c r="R28" s="54"/>
      <c r="S28" s="55"/>
      <c r="T28" s="52"/>
      <c r="U28" s="53"/>
      <c r="V28" s="54"/>
      <c r="W28" s="55"/>
      <c r="X28" s="52">
        <v>31177.851000000002</v>
      </c>
      <c r="Y28" s="53">
        <v>14657.791999999999</v>
      </c>
      <c r="Z28" s="54">
        <v>13948.438</v>
      </c>
      <c r="AA28" s="55">
        <v>28606.23</v>
      </c>
      <c r="AB28" s="52">
        <v>0</v>
      </c>
      <c r="AC28" s="53">
        <v>12236.249</v>
      </c>
      <c r="AD28" s="54">
        <v>11712.004999999999</v>
      </c>
      <c r="AE28" s="55">
        <v>23948.254000000001</v>
      </c>
      <c r="AF28" s="52">
        <v>30060.227999999999</v>
      </c>
      <c r="AG28" s="53">
        <v>0</v>
      </c>
      <c r="AH28" s="54">
        <v>0</v>
      </c>
      <c r="AI28" s="55">
        <v>0</v>
      </c>
      <c r="AJ28" s="52">
        <v>27659.113000000001</v>
      </c>
      <c r="AK28" s="53">
        <v>11534.323</v>
      </c>
      <c r="AL28" s="54">
        <v>10459.530999999999</v>
      </c>
      <c r="AM28" s="55">
        <v>21993.853999999999</v>
      </c>
      <c r="AN28" s="52">
        <v>0</v>
      </c>
      <c r="AO28" s="53"/>
      <c r="AP28" s="54"/>
      <c r="AQ28" s="55"/>
      <c r="AR28" s="52">
        <v>10410.964</v>
      </c>
      <c r="AS28" s="53">
        <v>5042.8130000000001</v>
      </c>
      <c r="AT28" s="54">
        <v>5036.2070000000003</v>
      </c>
      <c r="AU28" s="56">
        <v>10079.02</v>
      </c>
      <c r="AV28" s="52">
        <v>10410.964</v>
      </c>
      <c r="AW28" s="53">
        <v>4804.2290000000003</v>
      </c>
      <c r="AX28" s="54">
        <v>4547.759</v>
      </c>
      <c r="AY28" s="56">
        <v>9351.9880000000012</v>
      </c>
      <c r="AZ28" s="52">
        <v>10201.647000000001</v>
      </c>
      <c r="BA28" s="53">
        <v>0</v>
      </c>
      <c r="BB28" s="54">
        <v>0</v>
      </c>
      <c r="BC28" s="55">
        <v>0</v>
      </c>
      <c r="BD28" s="52">
        <v>9862.2639999999992</v>
      </c>
      <c r="BE28" s="53">
        <v>4651.2889999999998</v>
      </c>
      <c r="BF28" s="54">
        <v>4197.2159999999994</v>
      </c>
      <c r="BG28" s="55">
        <v>8848.5049999999992</v>
      </c>
      <c r="BH28" s="52">
        <v>10410.964</v>
      </c>
      <c r="BI28" s="53"/>
      <c r="BJ28" s="54"/>
      <c r="BK28" s="56"/>
      <c r="BL28" s="52">
        <v>18128.589000000004</v>
      </c>
      <c r="BM28" s="53">
        <v>8847.3109999999997</v>
      </c>
      <c r="BN28" s="54">
        <v>8336.3750000000018</v>
      </c>
      <c r="BO28" s="55">
        <v>17183.686000000002</v>
      </c>
      <c r="BP28" s="52">
        <v>18128.589000000004</v>
      </c>
      <c r="BQ28" s="53">
        <v>8523.9259999999995</v>
      </c>
      <c r="BR28" s="54">
        <v>8310.2020000000011</v>
      </c>
      <c r="BS28" s="55">
        <v>16834.128000000001</v>
      </c>
      <c r="BT28" s="52">
        <v>17954.112000000001</v>
      </c>
      <c r="BU28" s="53">
        <v>0</v>
      </c>
      <c r="BV28" s="54">
        <v>0</v>
      </c>
      <c r="BW28" s="55">
        <v>0</v>
      </c>
      <c r="BX28" s="52">
        <v>17572.751</v>
      </c>
      <c r="BY28" s="53">
        <v>8551.3539999999994</v>
      </c>
      <c r="BZ28" s="54">
        <v>8815.4910000000018</v>
      </c>
      <c r="CA28" s="55">
        <v>17366.845000000001</v>
      </c>
      <c r="CB28" s="52">
        <v>17095.260000000002</v>
      </c>
      <c r="CC28" s="53"/>
      <c r="CD28" s="54"/>
      <c r="CE28" s="55"/>
      <c r="CF28" s="52">
        <v>12713.486000000001</v>
      </c>
      <c r="CG28" s="53">
        <v>4731.29</v>
      </c>
      <c r="CH28" s="54">
        <v>4161.8789999999999</v>
      </c>
      <c r="CI28" s="55">
        <v>8893.1689999999999</v>
      </c>
      <c r="CJ28" s="52">
        <v>11499.526000000002</v>
      </c>
      <c r="CK28" s="53">
        <v>4064.9220000000005</v>
      </c>
      <c r="CL28" s="54">
        <v>3870.1579999999999</v>
      </c>
      <c r="CM28" s="55">
        <v>7935.08</v>
      </c>
      <c r="CN28" s="52">
        <v>10267.48</v>
      </c>
      <c r="CO28" s="53">
        <v>0</v>
      </c>
      <c r="CP28" s="54">
        <v>0</v>
      </c>
      <c r="CQ28" s="55">
        <v>0</v>
      </c>
      <c r="CR28" s="52">
        <v>9117.5509999999995</v>
      </c>
      <c r="CS28" s="53">
        <v>3310.212</v>
      </c>
      <c r="CT28" s="54">
        <v>3562.7890000000002</v>
      </c>
      <c r="CU28" s="55">
        <v>6873.0010000000002</v>
      </c>
      <c r="CV28" s="52">
        <v>8811.5260000000017</v>
      </c>
      <c r="CW28" s="53"/>
      <c r="CX28" s="54"/>
      <c r="CY28" s="55"/>
      <c r="CZ28" s="52">
        <v>23565.516</v>
      </c>
      <c r="DA28" s="53">
        <v>11127.007</v>
      </c>
      <c r="DB28" s="54">
        <v>11108.044</v>
      </c>
      <c r="DC28" s="56">
        <v>22235.050999999999</v>
      </c>
      <c r="DD28" s="52">
        <v>23565.516</v>
      </c>
      <c r="DE28" s="53">
        <v>10968.12</v>
      </c>
      <c r="DF28" s="54">
        <v>10157.279</v>
      </c>
      <c r="DG28" s="55">
        <v>21125.399000000001</v>
      </c>
      <c r="DH28" s="52">
        <v>23160.774000000001</v>
      </c>
      <c r="DI28" s="53">
        <v>0</v>
      </c>
      <c r="DJ28" s="54">
        <v>0</v>
      </c>
      <c r="DK28" s="55">
        <v>0</v>
      </c>
      <c r="DL28" s="52">
        <v>23160.774000000001</v>
      </c>
      <c r="DM28" s="53">
        <v>10322.128000000001</v>
      </c>
      <c r="DN28" s="54">
        <v>10079.324000000001</v>
      </c>
      <c r="DO28" s="55">
        <v>20401.452000000001</v>
      </c>
      <c r="DP28" s="52">
        <f>DP29+DP30</f>
        <v>0</v>
      </c>
      <c r="DQ28" s="53"/>
      <c r="DR28" s="54"/>
      <c r="DS28" s="56"/>
      <c r="DT28" s="122"/>
    </row>
    <row r="29" spans="1:124" s="25" customFormat="1" ht="15" x14ac:dyDescent="0.2">
      <c r="A29" s="43"/>
      <c r="B29" s="44" t="s">
        <v>120</v>
      </c>
      <c r="C29" s="45" t="s">
        <v>96</v>
      </c>
      <c r="D29" s="41"/>
      <c r="E29" s="158"/>
      <c r="F29" s="159"/>
      <c r="G29" s="157"/>
      <c r="H29" s="41"/>
      <c r="I29" s="46"/>
      <c r="J29" s="47"/>
      <c r="K29" s="40"/>
      <c r="L29" s="41"/>
      <c r="M29" s="46"/>
      <c r="N29" s="47"/>
      <c r="O29" s="40"/>
      <c r="P29" s="41"/>
      <c r="Q29" s="46"/>
      <c r="R29" s="47"/>
      <c r="S29" s="40"/>
      <c r="T29" s="41"/>
      <c r="U29" s="46"/>
      <c r="V29" s="47"/>
      <c r="W29" s="40"/>
      <c r="X29" s="41">
        <v>31177.851000000002</v>
      </c>
      <c r="Y29" s="46">
        <v>538</v>
      </c>
      <c r="Z29" s="47">
        <v>733</v>
      </c>
      <c r="AA29" s="48">
        <v>1271</v>
      </c>
      <c r="AB29" s="41"/>
      <c r="AC29" s="46">
        <v>1587</v>
      </c>
      <c r="AD29" s="47">
        <v>1737</v>
      </c>
      <c r="AE29" s="48">
        <v>3324</v>
      </c>
      <c r="AF29" s="41">
        <v>29664.550999999999</v>
      </c>
      <c r="AG29" s="46">
        <v>0</v>
      </c>
      <c r="AH29" s="47">
        <v>0</v>
      </c>
      <c r="AI29" s="48">
        <v>0</v>
      </c>
      <c r="AJ29" s="41">
        <v>27659.113000000001</v>
      </c>
      <c r="AK29" s="46">
        <v>9389.3230000000003</v>
      </c>
      <c r="AL29" s="47">
        <v>8734.530999999999</v>
      </c>
      <c r="AM29" s="48">
        <v>18123.853999999999</v>
      </c>
      <c r="AN29" s="41"/>
      <c r="AO29" s="46"/>
      <c r="AP29" s="47"/>
      <c r="AQ29" s="40"/>
      <c r="AR29" s="41">
        <v>0</v>
      </c>
      <c r="AS29" s="46">
        <v>1.571</v>
      </c>
      <c r="AT29" s="47">
        <v>18.314</v>
      </c>
      <c r="AU29" s="49">
        <v>19.885000000000002</v>
      </c>
      <c r="AV29" s="41"/>
      <c r="AW29" s="46">
        <v>29.04</v>
      </c>
      <c r="AX29" s="47">
        <v>29.752000000000002</v>
      </c>
      <c r="AY29" s="42">
        <v>58.792000000000002</v>
      </c>
      <c r="AZ29" s="41"/>
      <c r="BA29" s="46"/>
      <c r="BB29" s="47"/>
      <c r="BC29" s="40"/>
      <c r="BD29" s="41"/>
      <c r="BE29" s="46">
        <v>26.833999999999833</v>
      </c>
      <c r="BF29" s="47">
        <v>36.674999999998363</v>
      </c>
      <c r="BG29" s="48">
        <v>63.508999999998196</v>
      </c>
      <c r="BH29" s="41"/>
      <c r="BI29" s="46"/>
      <c r="BJ29" s="47"/>
      <c r="BK29" s="42"/>
      <c r="BL29" s="41">
        <v>1033.329</v>
      </c>
      <c r="BM29" s="46">
        <v>1307</v>
      </c>
      <c r="BN29" s="47">
        <v>1394.01</v>
      </c>
      <c r="BO29" s="40">
        <v>2701.01</v>
      </c>
      <c r="BP29" s="41">
        <v>1033.329</v>
      </c>
      <c r="BQ29" s="46">
        <v>1794</v>
      </c>
      <c r="BR29" s="47">
        <v>1818</v>
      </c>
      <c r="BS29" s="40">
        <v>3612</v>
      </c>
      <c r="BT29" s="41">
        <v>1023.384</v>
      </c>
      <c r="BU29" s="46"/>
      <c r="BV29" s="47"/>
      <c r="BW29" s="40">
        <v>0</v>
      </c>
      <c r="BX29" s="41">
        <v>1001.646</v>
      </c>
      <c r="BY29" s="46">
        <v>2077.9999999999991</v>
      </c>
      <c r="BZ29" s="47">
        <v>2341.0000000000018</v>
      </c>
      <c r="CA29" s="40">
        <v>4419.0000000000009</v>
      </c>
      <c r="CB29" s="41"/>
      <c r="CC29" s="46"/>
      <c r="CD29" s="47"/>
      <c r="CE29" s="40"/>
      <c r="CF29" s="41">
        <v>2957.1570000000002</v>
      </c>
      <c r="CG29" s="46"/>
      <c r="CH29" s="47"/>
      <c r="CI29" s="48">
        <v>0</v>
      </c>
      <c r="CJ29" s="41">
        <v>2688</v>
      </c>
      <c r="CK29" s="46">
        <v>2055.7820000000002</v>
      </c>
      <c r="CL29" s="47">
        <v>1898</v>
      </c>
      <c r="CM29" s="48">
        <v>3953.7820000000002</v>
      </c>
      <c r="CN29" s="41">
        <v>2400.011</v>
      </c>
      <c r="CO29" s="46"/>
      <c r="CP29" s="47"/>
      <c r="CQ29" s="48">
        <v>0</v>
      </c>
      <c r="CR29" s="41">
        <v>2131.2159999999999</v>
      </c>
      <c r="CS29" s="46">
        <v>1565</v>
      </c>
      <c r="CT29" s="47">
        <v>1692.0000000000002</v>
      </c>
      <c r="CU29" s="48">
        <v>3257</v>
      </c>
      <c r="CV29" s="41"/>
      <c r="CW29" s="46"/>
      <c r="CX29" s="47"/>
      <c r="CY29" s="40"/>
      <c r="CZ29" s="41">
        <v>23565.516</v>
      </c>
      <c r="DA29" s="46">
        <v>0</v>
      </c>
      <c r="DB29" s="47">
        <v>46</v>
      </c>
      <c r="DC29" s="89">
        <v>46</v>
      </c>
      <c r="DD29" s="41">
        <v>23565.516</v>
      </c>
      <c r="DE29" s="46">
        <v>100</v>
      </c>
      <c r="DF29" s="47">
        <v>223</v>
      </c>
      <c r="DG29" s="88">
        <v>323</v>
      </c>
      <c r="DH29" s="41"/>
      <c r="DI29" s="46"/>
      <c r="DJ29" s="47"/>
      <c r="DK29" s="88">
        <v>0</v>
      </c>
      <c r="DL29" s="41"/>
      <c r="DM29" s="46">
        <v>446</v>
      </c>
      <c r="DN29" s="47">
        <v>379</v>
      </c>
      <c r="DO29" s="48">
        <v>825</v>
      </c>
      <c r="DP29" s="41"/>
      <c r="DQ29" s="46"/>
      <c r="DR29" s="47"/>
      <c r="DS29" s="42"/>
      <c r="DT29" s="121"/>
    </row>
    <row r="30" spans="1:124" s="25" customFormat="1" ht="15" x14ac:dyDescent="0.2">
      <c r="A30" s="43"/>
      <c r="B30" s="44" t="s">
        <v>121</v>
      </c>
      <c r="C30" s="45" t="s">
        <v>96</v>
      </c>
      <c r="D30" s="41"/>
      <c r="E30" s="158"/>
      <c r="F30" s="159"/>
      <c r="G30" s="160"/>
      <c r="H30" s="41"/>
      <c r="I30" s="46"/>
      <c r="J30" s="47"/>
      <c r="K30" s="48"/>
      <c r="L30" s="41"/>
      <c r="M30" s="46"/>
      <c r="N30" s="47"/>
      <c r="O30" s="48"/>
      <c r="P30" s="41"/>
      <c r="Q30" s="46"/>
      <c r="R30" s="47"/>
      <c r="S30" s="48"/>
      <c r="T30" s="41"/>
      <c r="U30" s="46"/>
      <c r="V30" s="47"/>
      <c r="W30" s="48"/>
      <c r="X30" s="41">
        <v>0</v>
      </c>
      <c r="Y30" s="46">
        <v>14119.791999999999</v>
      </c>
      <c r="Z30" s="47">
        <v>13215.438</v>
      </c>
      <c r="AA30" s="48">
        <v>27335.23</v>
      </c>
      <c r="AB30" s="41">
        <v>0</v>
      </c>
      <c r="AC30" s="46">
        <v>10649.249</v>
      </c>
      <c r="AD30" s="47">
        <v>9975.0049999999992</v>
      </c>
      <c r="AE30" s="48">
        <v>20624.254000000001</v>
      </c>
      <c r="AF30" s="41"/>
      <c r="AG30" s="46"/>
      <c r="AH30" s="47"/>
      <c r="AI30" s="48">
        <v>0</v>
      </c>
      <c r="AJ30" s="41"/>
      <c r="AK30" s="46">
        <v>2145</v>
      </c>
      <c r="AL30" s="47">
        <v>1725</v>
      </c>
      <c r="AM30" s="48">
        <v>3870</v>
      </c>
      <c r="AN30" s="41">
        <v>0</v>
      </c>
      <c r="AO30" s="46"/>
      <c r="AP30" s="47"/>
      <c r="AQ30" s="48"/>
      <c r="AR30" s="41">
        <v>10410.964</v>
      </c>
      <c r="AS30" s="46">
        <v>5041.2420000000002</v>
      </c>
      <c r="AT30" s="47">
        <v>5017.893</v>
      </c>
      <c r="AU30" s="49">
        <v>10059.135</v>
      </c>
      <c r="AV30" s="41">
        <v>10410.964</v>
      </c>
      <c r="AW30" s="46">
        <v>4775.1890000000003</v>
      </c>
      <c r="AX30" s="47">
        <v>4518.0069999999996</v>
      </c>
      <c r="AY30" s="49">
        <v>9293.1959999999999</v>
      </c>
      <c r="AZ30" s="41">
        <v>10201.647000000001</v>
      </c>
      <c r="BA30" s="46"/>
      <c r="BB30" s="47"/>
      <c r="BC30" s="48">
        <v>0</v>
      </c>
      <c r="BD30" s="41">
        <v>9862.2639999999992</v>
      </c>
      <c r="BE30" s="46">
        <v>4624.4549999999999</v>
      </c>
      <c r="BF30" s="47">
        <v>4160.5410000000011</v>
      </c>
      <c r="BG30" s="48">
        <v>8784.996000000001</v>
      </c>
      <c r="BH30" s="41">
        <v>10410.964</v>
      </c>
      <c r="BI30" s="46"/>
      <c r="BJ30" s="47"/>
      <c r="BK30" s="49"/>
      <c r="BL30" s="41">
        <v>17095.260000000002</v>
      </c>
      <c r="BM30" s="46">
        <v>7540.3109999999997</v>
      </c>
      <c r="BN30" s="47">
        <v>6942.3650000000016</v>
      </c>
      <c r="BO30" s="48">
        <v>14482.676000000001</v>
      </c>
      <c r="BP30" s="41">
        <v>17095.260000000002</v>
      </c>
      <c r="BQ30" s="46">
        <v>6729.9260000000004</v>
      </c>
      <c r="BR30" s="47">
        <v>6492.2020000000002</v>
      </c>
      <c r="BS30" s="48">
        <v>13222.128000000001</v>
      </c>
      <c r="BT30" s="41">
        <v>16930.727999999999</v>
      </c>
      <c r="BU30" s="46"/>
      <c r="BV30" s="47"/>
      <c r="BW30" s="48">
        <v>0</v>
      </c>
      <c r="BX30" s="41">
        <v>16571.105</v>
      </c>
      <c r="BY30" s="46">
        <v>6473.3540000000003</v>
      </c>
      <c r="BZ30" s="47">
        <v>6474.491</v>
      </c>
      <c r="CA30" s="48">
        <v>12947.845000000001</v>
      </c>
      <c r="CB30" s="41">
        <v>17095.260000000002</v>
      </c>
      <c r="CC30" s="46"/>
      <c r="CD30" s="47"/>
      <c r="CE30" s="48"/>
      <c r="CF30" s="41">
        <v>9756.3290000000015</v>
      </c>
      <c r="CG30" s="46">
        <v>4731.29</v>
      </c>
      <c r="CH30" s="47">
        <v>4161.8789999999999</v>
      </c>
      <c r="CI30" s="48">
        <v>8893.1689999999999</v>
      </c>
      <c r="CJ30" s="41">
        <v>8811.5260000000017</v>
      </c>
      <c r="CK30" s="46">
        <v>2009.14</v>
      </c>
      <c r="CL30" s="47">
        <v>1972.1579999999999</v>
      </c>
      <c r="CM30" s="48">
        <v>3981.2979999999998</v>
      </c>
      <c r="CN30" s="41">
        <v>7867.4690000000001</v>
      </c>
      <c r="CO30" s="46"/>
      <c r="CP30" s="47"/>
      <c r="CQ30" s="48">
        <v>0</v>
      </c>
      <c r="CR30" s="41">
        <v>6986.335</v>
      </c>
      <c r="CS30" s="46">
        <v>1745.212</v>
      </c>
      <c r="CT30" s="47">
        <v>1870.789</v>
      </c>
      <c r="CU30" s="48">
        <v>3616.0010000000002</v>
      </c>
      <c r="CV30" s="41">
        <v>8811.5260000000017</v>
      </c>
      <c r="CW30" s="46"/>
      <c r="CX30" s="47"/>
      <c r="CY30" s="48"/>
      <c r="CZ30" s="41">
        <v>0</v>
      </c>
      <c r="DA30" s="46">
        <v>11127.007</v>
      </c>
      <c r="DB30" s="47">
        <v>11062.044</v>
      </c>
      <c r="DC30" s="89">
        <v>22189.050999999999</v>
      </c>
      <c r="DD30" s="41">
        <v>0</v>
      </c>
      <c r="DE30" s="46">
        <v>10868.12</v>
      </c>
      <c r="DF30" s="47">
        <v>9934.2790000000005</v>
      </c>
      <c r="DG30" s="88">
        <v>20802.399000000001</v>
      </c>
      <c r="DH30" s="41">
        <v>23160.774000000001</v>
      </c>
      <c r="DI30" s="46"/>
      <c r="DJ30" s="47"/>
      <c r="DK30" s="88">
        <v>0</v>
      </c>
      <c r="DL30" s="41">
        <v>23160.774000000001</v>
      </c>
      <c r="DM30" s="46">
        <v>9876.1280000000006</v>
      </c>
      <c r="DN30" s="47">
        <v>9700.3240000000005</v>
      </c>
      <c r="DO30" s="48">
        <v>19576.452000000001</v>
      </c>
      <c r="DP30" s="41">
        <f>DD30</f>
        <v>0</v>
      </c>
      <c r="DQ30" s="46"/>
      <c r="DR30" s="47"/>
      <c r="DS30" s="49"/>
      <c r="DT30" s="121"/>
    </row>
    <row r="31" spans="1:124" s="61" customFormat="1" ht="14.25" x14ac:dyDescent="0.2">
      <c r="A31" s="82" t="s">
        <v>124</v>
      </c>
      <c r="B31" s="91" t="s">
        <v>125</v>
      </c>
      <c r="C31" s="84" t="s">
        <v>96</v>
      </c>
      <c r="D31" s="85">
        <f t="shared" ref="D31:K31" si="28">D32+D33</f>
        <v>38104.989000000001</v>
      </c>
      <c r="E31" s="169">
        <f t="shared" si="28"/>
        <v>20044.806</v>
      </c>
      <c r="F31" s="170">
        <f t="shared" si="28"/>
        <v>14578.789000000001</v>
      </c>
      <c r="G31" s="163">
        <f t="shared" si="28"/>
        <v>34623.595000000001</v>
      </c>
      <c r="H31" s="85">
        <f t="shared" si="28"/>
        <v>38104.989000000001</v>
      </c>
      <c r="I31" s="86">
        <f t="shared" si="28"/>
        <v>11736.306999999999</v>
      </c>
      <c r="J31" s="87">
        <f t="shared" si="28"/>
        <v>10379.689</v>
      </c>
      <c r="K31" s="55">
        <f t="shared" si="28"/>
        <v>22115.995999999999</v>
      </c>
      <c r="L31" s="85">
        <v>41460.453000000001</v>
      </c>
      <c r="M31" s="86">
        <f t="shared" ref="M31:O31" si="29">M32+M33</f>
        <v>0</v>
      </c>
      <c r="N31" s="87">
        <f t="shared" si="29"/>
        <v>0</v>
      </c>
      <c r="O31" s="55">
        <f t="shared" si="29"/>
        <v>0</v>
      </c>
      <c r="P31" s="85">
        <v>34543.756999999998</v>
      </c>
      <c r="Q31" s="86">
        <v>14231.075999999999</v>
      </c>
      <c r="R31" s="87">
        <v>14633.802000000001</v>
      </c>
      <c r="S31" s="55">
        <v>28864.878000000001</v>
      </c>
      <c r="T31" s="85">
        <v>38104.989000000001</v>
      </c>
      <c r="U31" s="86">
        <v>0</v>
      </c>
      <c r="V31" s="87">
        <v>0</v>
      </c>
      <c r="W31" s="55">
        <v>0</v>
      </c>
      <c r="X31" s="85">
        <v>3277</v>
      </c>
      <c r="Y31" s="86">
        <v>1224</v>
      </c>
      <c r="Z31" s="87">
        <v>932</v>
      </c>
      <c r="AA31" s="55">
        <v>2156</v>
      </c>
      <c r="AB31" s="85">
        <v>3277</v>
      </c>
      <c r="AC31" s="86">
        <v>1022</v>
      </c>
      <c r="AD31" s="87">
        <v>723</v>
      </c>
      <c r="AE31" s="55">
        <v>1745</v>
      </c>
      <c r="AF31" s="85">
        <v>2888.6669999999999</v>
      </c>
      <c r="AG31" s="86">
        <v>0</v>
      </c>
      <c r="AH31" s="87">
        <v>0</v>
      </c>
      <c r="AI31" s="55">
        <v>0</v>
      </c>
      <c r="AJ31" s="85">
        <v>2103.6669999999999</v>
      </c>
      <c r="AK31" s="86">
        <v>1156</v>
      </c>
      <c r="AL31" s="87">
        <v>862</v>
      </c>
      <c r="AM31" s="55">
        <v>2018</v>
      </c>
      <c r="AN31" s="85">
        <v>3277</v>
      </c>
      <c r="AO31" s="86">
        <v>0</v>
      </c>
      <c r="AP31" s="87">
        <v>0</v>
      </c>
      <c r="AQ31" s="55">
        <v>0</v>
      </c>
      <c r="AR31" s="85">
        <v>961.33299999999997</v>
      </c>
      <c r="AS31" s="86">
        <v>497</v>
      </c>
      <c r="AT31" s="87">
        <v>300</v>
      </c>
      <c r="AU31" s="56">
        <v>797</v>
      </c>
      <c r="AV31" s="85">
        <v>961.33299999999997</v>
      </c>
      <c r="AW31" s="86">
        <v>218</v>
      </c>
      <c r="AX31" s="87">
        <v>322.029</v>
      </c>
      <c r="AY31" s="56">
        <v>540.029</v>
      </c>
      <c r="AZ31" s="85">
        <v>904.66700000000003</v>
      </c>
      <c r="BA31" s="86">
        <v>0</v>
      </c>
      <c r="BB31" s="87">
        <v>0</v>
      </c>
      <c r="BC31" s="55">
        <v>0</v>
      </c>
      <c r="BD31" s="85">
        <v>766.01</v>
      </c>
      <c r="BE31" s="86">
        <v>317.185</v>
      </c>
      <c r="BF31" s="87">
        <v>271.52900000000005</v>
      </c>
      <c r="BG31" s="55">
        <v>588.71400000000006</v>
      </c>
      <c r="BH31" s="85">
        <v>961.33299999999997</v>
      </c>
      <c r="BI31" s="86">
        <v>0</v>
      </c>
      <c r="BJ31" s="87">
        <v>0</v>
      </c>
      <c r="BK31" s="56">
        <v>0</v>
      </c>
      <c r="BL31" s="85">
        <v>3171</v>
      </c>
      <c r="BM31" s="86">
        <v>1199</v>
      </c>
      <c r="BN31" s="87">
        <v>660</v>
      </c>
      <c r="BO31" s="55">
        <v>1859</v>
      </c>
      <c r="BP31" s="85">
        <v>3171</v>
      </c>
      <c r="BQ31" s="86">
        <v>466</v>
      </c>
      <c r="BR31" s="87">
        <v>768</v>
      </c>
      <c r="BS31" s="55">
        <v>1234</v>
      </c>
      <c r="BT31" s="85">
        <v>2243.6669999999999</v>
      </c>
      <c r="BU31" s="86">
        <v>0</v>
      </c>
      <c r="BV31" s="87">
        <v>0</v>
      </c>
      <c r="BW31" s="55">
        <v>0</v>
      </c>
      <c r="BX31" s="85">
        <v>1872</v>
      </c>
      <c r="BY31" s="86">
        <v>499</v>
      </c>
      <c r="BZ31" s="87">
        <v>637</v>
      </c>
      <c r="CA31" s="55">
        <v>1136</v>
      </c>
      <c r="CB31" s="85">
        <v>25.684999999999945</v>
      </c>
      <c r="CC31" s="86">
        <v>0</v>
      </c>
      <c r="CD31" s="87">
        <v>0</v>
      </c>
      <c r="CE31" s="55">
        <v>0</v>
      </c>
      <c r="CF31" s="85">
        <v>3028.3330000000001</v>
      </c>
      <c r="CG31" s="86">
        <v>1875</v>
      </c>
      <c r="CH31" s="87">
        <v>2428</v>
      </c>
      <c r="CI31" s="55">
        <v>4303</v>
      </c>
      <c r="CJ31" s="85">
        <v>3308</v>
      </c>
      <c r="CK31" s="86">
        <v>2328</v>
      </c>
      <c r="CL31" s="87">
        <v>2484</v>
      </c>
      <c r="CM31" s="55">
        <v>4812</v>
      </c>
      <c r="CN31" s="85">
        <v>3805</v>
      </c>
      <c r="CO31" s="86">
        <v>0</v>
      </c>
      <c r="CP31" s="87">
        <v>0</v>
      </c>
      <c r="CQ31" s="55">
        <v>0</v>
      </c>
      <c r="CR31" s="85">
        <v>4280</v>
      </c>
      <c r="CS31" s="86">
        <v>2862</v>
      </c>
      <c r="CT31" s="87">
        <v>2472</v>
      </c>
      <c r="CU31" s="55">
        <v>5334</v>
      </c>
      <c r="CV31" s="85">
        <v>25.332999999999998</v>
      </c>
      <c r="CW31" s="86">
        <v>0</v>
      </c>
      <c r="CX31" s="87">
        <v>0</v>
      </c>
      <c r="CY31" s="55">
        <v>0</v>
      </c>
      <c r="CZ31" s="85">
        <v>1104.9959999999999</v>
      </c>
      <c r="DA31" s="86">
        <v>539</v>
      </c>
      <c r="DB31" s="87">
        <v>518</v>
      </c>
      <c r="DC31" s="56">
        <v>1057</v>
      </c>
      <c r="DD31" s="85">
        <v>1104.9959999999999</v>
      </c>
      <c r="DE31" s="86">
        <v>395</v>
      </c>
      <c r="DF31" s="87">
        <v>652</v>
      </c>
      <c r="DG31" s="55">
        <v>1047</v>
      </c>
      <c r="DH31" s="85">
        <v>1106.6669999999999</v>
      </c>
      <c r="DI31" s="86">
        <v>0</v>
      </c>
      <c r="DJ31" s="87">
        <v>0</v>
      </c>
      <c r="DK31" s="55">
        <v>0</v>
      </c>
      <c r="DL31" s="85">
        <v>1106.6669999999999</v>
      </c>
      <c r="DM31" s="86">
        <v>591</v>
      </c>
      <c r="DN31" s="87">
        <v>691</v>
      </c>
      <c r="DO31" s="55">
        <v>1282</v>
      </c>
      <c r="DP31" s="85">
        <f t="shared" ref="DP31:DS31" si="30">DP32+DP33</f>
        <v>1104.9959999999999</v>
      </c>
      <c r="DQ31" s="86">
        <f t="shared" si="30"/>
        <v>0</v>
      </c>
      <c r="DR31" s="87">
        <f t="shared" si="30"/>
        <v>0</v>
      </c>
      <c r="DS31" s="56">
        <f t="shared" si="30"/>
        <v>0</v>
      </c>
      <c r="DT31" s="122"/>
    </row>
    <row r="32" spans="1:124" s="25" customFormat="1" ht="15" x14ac:dyDescent="0.2">
      <c r="A32" s="62"/>
      <c r="B32" s="92" t="s">
        <v>120</v>
      </c>
      <c r="C32" s="64" t="s">
        <v>96</v>
      </c>
      <c r="D32" s="65">
        <v>36340.728000000003</v>
      </c>
      <c r="E32" s="165">
        <f>18676.146+401.66</f>
        <v>19077.806</v>
      </c>
      <c r="F32" s="166">
        <f>11868.447+464.342</f>
        <v>12332.789000000001</v>
      </c>
      <c r="G32" s="172">
        <f>E32+F32</f>
        <v>31410.595000000001</v>
      </c>
      <c r="H32" s="41">
        <f>D32</f>
        <v>36340.728000000003</v>
      </c>
      <c r="I32" s="66">
        <v>10892.306999999999</v>
      </c>
      <c r="J32" s="67">
        <v>9533.6890000000003</v>
      </c>
      <c r="K32" s="93">
        <f>I32+J32</f>
        <v>20425.995999999999</v>
      </c>
      <c r="L32" s="41">
        <v>39540.834000000003</v>
      </c>
      <c r="M32" s="66"/>
      <c r="N32" s="67"/>
      <c r="O32" s="93">
        <f>M32+N32</f>
        <v>0</v>
      </c>
      <c r="P32" s="41">
        <v>32944.381000000001</v>
      </c>
      <c r="Q32" s="66">
        <v>13468.075999999999</v>
      </c>
      <c r="R32" s="67">
        <v>14122.802000000001</v>
      </c>
      <c r="S32" s="93">
        <v>27590.878000000001</v>
      </c>
      <c r="T32" s="41">
        <v>36340.728000000003</v>
      </c>
      <c r="U32" s="66"/>
      <c r="V32" s="67"/>
      <c r="W32" s="93"/>
      <c r="X32" s="65">
        <v>2526.239</v>
      </c>
      <c r="Y32" s="66">
        <v>1073</v>
      </c>
      <c r="Z32" s="67">
        <v>781</v>
      </c>
      <c r="AA32" s="93">
        <v>1854</v>
      </c>
      <c r="AB32" s="41">
        <v>2526.239</v>
      </c>
      <c r="AC32" s="66">
        <v>869</v>
      </c>
      <c r="AD32" s="67">
        <v>669</v>
      </c>
      <c r="AE32" s="93">
        <v>1538</v>
      </c>
      <c r="AF32" s="41">
        <v>2526.239</v>
      </c>
      <c r="AG32" s="66"/>
      <c r="AH32" s="67"/>
      <c r="AI32" s="93">
        <v>0</v>
      </c>
      <c r="AJ32" s="41">
        <v>1621.7170000000001</v>
      </c>
      <c r="AK32" s="66">
        <v>1121</v>
      </c>
      <c r="AL32" s="67">
        <v>826</v>
      </c>
      <c r="AM32" s="93">
        <v>1947</v>
      </c>
      <c r="AN32" s="41">
        <v>2526.239</v>
      </c>
      <c r="AO32" s="66"/>
      <c r="AP32" s="67"/>
      <c r="AQ32" s="93"/>
      <c r="AR32" s="41">
        <v>17.189</v>
      </c>
      <c r="AS32" s="66">
        <v>26</v>
      </c>
      <c r="AT32" s="67">
        <v>158</v>
      </c>
      <c r="AU32" s="94">
        <v>184</v>
      </c>
      <c r="AV32" s="41">
        <v>17.189</v>
      </c>
      <c r="AW32" s="66">
        <v>200</v>
      </c>
      <c r="AX32" s="67">
        <v>314.029</v>
      </c>
      <c r="AY32" s="94">
        <v>514.029</v>
      </c>
      <c r="AZ32" s="41">
        <v>16.175790348401648</v>
      </c>
      <c r="BA32" s="66"/>
      <c r="BB32" s="67"/>
      <c r="BC32" s="93">
        <v>0</v>
      </c>
      <c r="BD32" s="41">
        <v>13.696999999999999</v>
      </c>
      <c r="BE32" s="66">
        <v>306.185</v>
      </c>
      <c r="BF32" s="67">
        <v>263.52900000000005</v>
      </c>
      <c r="BG32" s="93">
        <v>569.71400000000006</v>
      </c>
      <c r="BH32" s="41">
        <v>17.189</v>
      </c>
      <c r="BI32" s="66"/>
      <c r="BJ32" s="67"/>
      <c r="BK32" s="94"/>
      <c r="BL32" s="41">
        <v>3145.3150000000001</v>
      </c>
      <c r="BM32" s="66">
        <v>1188</v>
      </c>
      <c r="BN32" s="67">
        <v>652</v>
      </c>
      <c r="BO32" s="93">
        <v>1840</v>
      </c>
      <c r="BP32" s="41">
        <v>3145.3150000000001</v>
      </c>
      <c r="BQ32" s="66">
        <v>455</v>
      </c>
      <c r="BR32" s="67">
        <v>760</v>
      </c>
      <c r="BS32" s="93">
        <v>1215</v>
      </c>
      <c r="BT32" s="41">
        <v>2225.4929999999999</v>
      </c>
      <c r="BU32" s="66"/>
      <c r="BV32" s="67"/>
      <c r="BW32" s="93">
        <v>0</v>
      </c>
      <c r="BX32" s="41">
        <v>1856.837</v>
      </c>
      <c r="BY32" s="66">
        <v>488</v>
      </c>
      <c r="BZ32" s="67">
        <v>629</v>
      </c>
      <c r="CA32" s="93">
        <v>1117</v>
      </c>
      <c r="CB32" s="41"/>
      <c r="CC32" s="66"/>
      <c r="CD32" s="67"/>
      <c r="CE32" s="93"/>
      <c r="CF32" s="41">
        <v>21.198</v>
      </c>
      <c r="CG32" s="66">
        <v>1861</v>
      </c>
      <c r="CH32" s="67">
        <v>2414</v>
      </c>
      <c r="CI32" s="93">
        <v>4275</v>
      </c>
      <c r="CJ32" s="41">
        <v>3282.6669999999999</v>
      </c>
      <c r="CK32" s="66">
        <v>2314</v>
      </c>
      <c r="CL32" s="67">
        <v>2470</v>
      </c>
      <c r="CM32" s="93">
        <v>4784</v>
      </c>
      <c r="CN32" s="41">
        <v>3775.8609999999999</v>
      </c>
      <c r="CO32" s="66"/>
      <c r="CP32" s="67"/>
      <c r="CQ32" s="93">
        <v>0</v>
      </c>
      <c r="CR32" s="41">
        <v>4247.223</v>
      </c>
      <c r="CS32" s="66">
        <v>2848</v>
      </c>
      <c r="CT32" s="67">
        <v>2458</v>
      </c>
      <c r="CU32" s="93">
        <v>5306</v>
      </c>
      <c r="CV32" s="41"/>
      <c r="CW32" s="66"/>
      <c r="CX32" s="67"/>
      <c r="CY32" s="93"/>
      <c r="CZ32" s="41">
        <v>977.26199999999994</v>
      </c>
      <c r="DA32" s="66">
        <v>478</v>
      </c>
      <c r="DB32" s="67">
        <v>498</v>
      </c>
      <c r="DC32" s="94">
        <v>976</v>
      </c>
      <c r="DD32" s="41">
        <v>977.26199999999994</v>
      </c>
      <c r="DE32" s="66">
        <v>376</v>
      </c>
      <c r="DF32" s="67">
        <v>639</v>
      </c>
      <c r="DG32" s="93">
        <v>1015</v>
      </c>
      <c r="DH32" s="41">
        <v>978.73983774963892</v>
      </c>
      <c r="DI32" s="66"/>
      <c r="DJ32" s="67"/>
      <c r="DK32" s="93">
        <v>0</v>
      </c>
      <c r="DL32" s="41">
        <v>978.73983774963892</v>
      </c>
      <c r="DM32" s="66">
        <v>574</v>
      </c>
      <c r="DN32" s="67">
        <v>675</v>
      </c>
      <c r="DO32" s="93">
        <v>1249</v>
      </c>
      <c r="DP32" s="41">
        <f>DD32</f>
        <v>977.26199999999994</v>
      </c>
      <c r="DQ32" s="66"/>
      <c r="DR32" s="67"/>
      <c r="DS32" s="94"/>
      <c r="DT32" s="121"/>
    </row>
    <row r="33" spans="1:124" s="25" customFormat="1" ht="15" x14ac:dyDescent="0.2">
      <c r="A33" s="43"/>
      <c r="B33" s="95" t="s">
        <v>126</v>
      </c>
      <c r="C33" s="45" t="s">
        <v>96</v>
      </c>
      <c r="D33" s="41">
        <v>1764.2610000000022</v>
      </c>
      <c r="E33" s="158">
        <v>967</v>
      </c>
      <c r="F33" s="159">
        <v>2246</v>
      </c>
      <c r="G33" s="160">
        <f>E33+F33</f>
        <v>3213</v>
      </c>
      <c r="H33" s="41">
        <f>D33</f>
        <v>1764.2610000000022</v>
      </c>
      <c r="I33" s="46">
        <v>844</v>
      </c>
      <c r="J33" s="47">
        <v>846</v>
      </c>
      <c r="K33" s="48">
        <f>I33+J33</f>
        <v>1690</v>
      </c>
      <c r="L33" s="41">
        <v>1919.6189999999988</v>
      </c>
      <c r="M33" s="46"/>
      <c r="N33" s="47"/>
      <c r="O33" s="48">
        <f>M33+N33</f>
        <v>0</v>
      </c>
      <c r="P33" s="41">
        <v>1599.3759999999966</v>
      </c>
      <c r="Q33" s="46">
        <v>763</v>
      </c>
      <c r="R33" s="47">
        <v>511</v>
      </c>
      <c r="S33" s="48">
        <v>1274</v>
      </c>
      <c r="T33" s="41">
        <v>1764.2610000000022</v>
      </c>
      <c r="U33" s="46"/>
      <c r="V33" s="47"/>
      <c r="W33" s="48"/>
      <c r="X33" s="41">
        <v>750.76099999999997</v>
      </c>
      <c r="Y33" s="46">
        <v>151</v>
      </c>
      <c r="Z33" s="47">
        <v>151</v>
      </c>
      <c r="AA33" s="48">
        <v>302</v>
      </c>
      <c r="AB33" s="41">
        <v>750.76099999999997</v>
      </c>
      <c r="AC33" s="46">
        <v>153</v>
      </c>
      <c r="AD33" s="47">
        <v>54</v>
      </c>
      <c r="AE33" s="48">
        <v>207</v>
      </c>
      <c r="AF33" s="41">
        <v>750.76099999999997</v>
      </c>
      <c r="AG33" s="46"/>
      <c r="AH33" s="47"/>
      <c r="AI33" s="48">
        <v>0</v>
      </c>
      <c r="AJ33" s="41">
        <v>481.95</v>
      </c>
      <c r="AK33" s="46">
        <v>35</v>
      </c>
      <c r="AL33" s="47">
        <v>36</v>
      </c>
      <c r="AM33" s="48">
        <v>71</v>
      </c>
      <c r="AN33" s="41">
        <v>750.76099999999997</v>
      </c>
      <c r="AO33" s="46"/>
      <c r="AP33" s="47"/>
      <c r="AQ33" s="48"/>
      <c r="AR33" s="41">
        <v>944.14400000000001</v>
      </c>
      <c r="AS33" s="46">
        <v>471</v>
      </c>
      <c r="AT33" s="47">
        <v>142</v>
      </c>
      <c r="AU33" s="49">
        <v>613</v>
      </c>
      <c r="AV33" s="41">
        <v>944.14400000000001</v>
      </c>
      <c r="AW33" s="46">
        <v>18</v>
      </c>
      <c r="AX33" s="47">
        <v>8</v>
      </c>
      <c r="AY33" s="49">
        <v>26</v>
      </c>
      <c r="AZ33" s="41">
        <v>888.49120965159841</v>
      </c>
      <c r="BA33" s="46"/>
      <c r="BB33" s="47"/>
      <c r="BC33" s="48">
        <v>0</v>
      </c>
      <c r="BD33" s="41">
        <v>752.31299999999999</v>
      </c>
      <c r="BE33" s="46">
        <v>11</v>
      </c>
      <c r="BF33" s="47">
        <v>8</v>
      </c>
      <c r="BG33" s="48">
        <v>19</v>
      </c>
      <c r="BH33" s="41">
        <v>944.14400000000001</v>
      </c>
      <c r="BI33" s="46"/>
      <c r="BJ33" s="47"/>
      <c r="BK33" s="49"/>
      <c r="BL33" s="41">
        <v>25.684999999999945</v>
      </c>
      <c r="BM33" s="46">
        <v>11</v>
      </c>
      <c r="BN33" s="47">
        <v>8</v>
      </c>
      <c r="BO33" s="48">
        <v>19</v>
      </c>
      <c r="BP33" s="41">
        <v>25.684999999999945</v>
      </c>
      <c r="BQ33" s="46">
        <v>11</v>
      </c>
      <c r="BR33" s="47">
        <v>8</v>
      </c>
      <c r="BS33" s="48">
        <v>19</v>
      </c>
      <c r="BT33" s="41">
        <v>18.173999999999999</v>
      </c>
      <c r="BU33" s="46"/>
      <c r="BV33" s="47"/>
      <c r="BW33" s="48">
        <v>0</v>
      </c>
      <c r="BX33" s="41">
        <v>15.163</v>
      </c>
      <c r="BY33" s="46">
        <v>11</v>
      </c>
      <c r="BZ33" s="47">
        <v>8</v>
      </c>
      <c r="CA33" s="48">
        <v>19</v>
      </c>
      <c r="CB33" s="41">
        <v>25.684999999999945</v>
      </c>
      <c r="CC33" s="46"/>
      <c r="CD33" s="47"/>
      <c r="CE33" s="48"/>
      <c r="CF33" s="41">
        <v>3007.1350000000002</v>
      </c>
      <c r="CG33" s="46">
        <v>14</v>
      </c>
      <c r="CH33" s="47">
        <v>14</v>
      </c>
      <c r="CI33" s="48">
        <v>28</v>
      </c>
      <c r="CJ33" s="41">
        <v>25.332999999999998</v>
      </c>
      <c r="CK33" s="46">
        <v>14</v>
      </c>
      <c r="CL33" s="47">
        <v>14</v>
      </c>
      <c r="CM33" s="48">
        <v>28</v>
      </c>
      <c r="CN33" s="41">
        <v>29.138999999999999</v>
      </c>
      <c r="CO33" s="46"/>
      <c r="CP33" s="47"/>
      <c r="CQ33" s="48">
        <v>0</v>
      </c>
      <c r="CR33" s="41">
        <v>32.777000000000001</v>
      </c>
      <c r="CS33" s="46">
        <v>14</v>
      </c>
      <c r="CT33" s="47">
        <v>14</v>
      </c>
      <c r="CU33" s="48">
        <v>28</v>
      </c>
      <c r="CV33" s="41">
        <v>25.332999999999998</v>
      </c>
      <c r="CW33" s="46"/>
      <c r="CX33" s="47"/>
      <c r="CY33" s="48"/>
      <c r="CZ33" s="41">
        <v>127.73400000000001</v>
      </c>
      <c r="DA33" s="46">
        <v>61</v>
      </c>
      <c r="DB33" s="47">
        <v>20</v>
      </c>
      <c r="DC33" s="49">
        <v>81</v>
      </c>
      <c r="DD33" s="41">
        <v>127.73400000000001</v>
      </c>
      <c r="DE33" s="46">
        <v>19</v>
      </c>
      <c r="DF33" s="47">
        <v>13</v>
      </c>
      <c r="DG33" s="48">
        <v>32</v>
      </c>
      <c r="DH33" s="41">
        <v>127.92716225036111</v>
      </c>
      <c r="DI33" s="46"/>
      <c r="DJ33" s="47"/>
      <c r="DK33" s="48">
        <v>0</v>
      </c>
      <c r="DL33" s="41">
        <v>127.92716225036111</v>
      </c>
      <c r="DM33" s="46">
        <v>17</v>
      </c>
      <c r="DN33" s="47">
        <v>16</v>
      </c>
      <c r="DO33" s="48">
        <v>33</v>
      </c>
      <c r="DP33" s="41">
        <f>DD33</f>
        <v>127.73400000000001</v>
      </c>
      <c r="DQ33" s="46"/>
      <c r="DR33" s="47"/>
      <c r="DS33" s="49"/>
      <c r="DT33" s="121"/>
    </row>
    <row r="34" spans="1:124" s="61" customFormat="1" ht="14.25" x14ac:dyDescent="0.2">
      <c r="A34" s="96" t="s">
        <v>127</v>
      </c>
      <c r="B34" s="97" t="s">
        <v>0</v>
      </c>
      <c r="C34" s="69" t="s">
        <v>96</v>
      </c>
      <c r="D34" s="70">
        <f t="shared" ref="D34:K34" si="31">D35+D36</f>
        <v>37812.278000000006</v>
      </c>
      <c r="E34" s="167">
        <f t="shared" si="31"/>
        <v>14621.209000000001</v>
      </c>
      <c r="F34" s="168">
        <f t="shared" si="31"/>
        <v>15266.434999999999</v>
      </c>
      <c r="G34" s="173">
        <f t="shared" si="31"/>
        <v>29887.644</v>
      </c>
      <c r="H34" s="70">
        <f t="shared" si="31"/>
        <v>37812.278000000006</v>
      </c>
      <c r="I34" s="71">
        <f t="shared" si="31"/>
        <v>17278.376</v>
      </c>
      <c r="J34" s="72">
        <f>J35+J36</f>
        <v>20474.909</v>
      </c>
      <c r="K34" s="98">
        <f t="shared" si="31"/>
        <v>37753.285000000003</v>
      </c>
      <c r="L34" s="70">
        <v>31952.978999999999</v>
      </c>
      <c r="M34" s="71">
        <f t="shared" ref="M34:O34" si="32">M35+M36</f>
        <v>0</v>
      </c>
      <c r="N34" s="72">
        <f t="shared" si="32"/>
        <v>0</v>
      </c>
      <c r="O34" s="98">
        <f t="shared" si="32"/>
        <v>0</v>
      </c>
      <c r="P34" s="70">
        <v>33045.5</v>
      </c>
      <c r="Q34" s="71">
        <v>23904.913</v>
      </c>
      <c r="R34" s="72">
        <v>38625.608999999997</v>
      </c>
      <c r="S34" s="98">
        <v>62530.521999999997</v>
      </c>
      <c r="T34" s="70">
        <v>449.96599999999671</v>
      </c>
      <c r="U34" s="71">
        <v>0</v>
      </c>
      <c r="V34" s="72">
        <v>0</v>
      </c>
      <c r="W34" s="98">
        <v>0</v>
      </c>
      <c r="X34" s="70">
        <v>333.33299999999997</v>
      </c>
      <c r="Y34" s="71">
        <v>164</v>
      </c>
      <c r="Z34" s="72">
        <v>162</v>
      </c>
      <c r="AA34" s="98">
        <v>326</v>
      </c>
      <c r="AB34" s="70">
        <v>333.33299999999997</v>
      </c>
      <c r="AC34" s="71">
        <v>164</v>
      </c>
      <c r="AD34" s="72">
        <v>162</v>
      </c>
      <c r="AE34" s="98">
        <v>326</v>
      </c>
      <c r="AF34" s="70">
        <v>326</v>
      </c>
      <c r="AG34" s="71">
        <v>0</v>
      </c>
      <c r="AH34" s="72">
        <v>0</v>
      </c>
      <c r="AI34" s="98">
        <v>0</v>
      </c>
      <c r="AJ34" s="70">
        <v>326</v>
      </c>
      <c r="AK34" s="71">
        <v>130</v>
      </c>
      <c r="AL34" s="72">
        <v>125</v>
      </c>
      <c r="AM34" s="98">
        <v>255</v>
      </c>
      <c r="AN34" s="70">
        <v>333.33299999999997</v>
      </c>
      <c r="AO34" s="71">
        <v>0</v>
      </c>
      <c r="AP34" s="72">
        <v>0</v>
      </c>
      <c r="AQ34" s="98">
        <v>0</v>
      </c>
      <c r="AR34" s="70">
        <v>83.667000000000002</v>
      </c>
      <c r="AS34" s="71">
        <v>40</v>
      </c>
      <c r="AT34" s="72">
        <v>38</v>
      </c>
      <c r="AU34" s="99">
        <v>78</v>
      </c>
      <c r="AV34" s="70">
        <v>83.667000000000002</v>
      </c>
      <c r="AW34" s="71">
        <v>41</v>
      </c>
      <c r="AX34" s="72">
        <v>42.8</v>
      </c>
      <c r="AY34" s="99">
        <v>83.8</v>
      </c>
      <c r="AZ34" s="70">
        <v>106.333</v>
      </c>
      <c r="BA34" s="71">
        <v>0</v>
      </c>
      <c r="BB34" s="72">
        <v>0</v>
      </c>
      <c r="BC34" s="98">
        <v>0</v>
      </c>
      <c r="BD34" s="70">
        <v>105.93300000000001</v>
      </c>
      <c r="BE34" s="71">
        <v>42.981000000000002</v>
      </c>
      <c r="BF34" s="72">
        <v>39.074000000000005</v>
      </c>
      <c r="BG34" s="98">
        <v>82.055000000000007</v>
      </c>
      <c r="BH34" s="70">
        <v>83.667000000000002</v>
      </c>
      <c r="BI34" s="71">
        <v>0</v>
      </c>
      <c r="BJ34" s="72">
        <v>0</v>
      </c>
      <c r="BK34" s="99">
        <v>0</v>
      </c>
      <c r="BL34" s="70">
        <v>794.30199999999991</v>
      </c>
      <c r="BM34" s="71">
        <v>582.5</v>
      </c>
      <c r="BN34" s="72">
        <v>403</v>
      </c>
      <c r="BO34" s="98">
        <v>985.5</v>
      </c>
      <c r="BP34" s="70">
        <v>794.30199999999991</v>
      </c>
      <c r="BQ34" s="71">
        <v>380</v>
      </c>
      <c r="BR34" s="72">
        <v>399.5</v>
      </c>
      <c r="BS34" s="98">
        <v>779.5</v>
      </c>
      <c r="BT34" s="70">
        <v>1248.9330000000002</v>
      </c>
      <c r="BU34" s="71">
        <v>0</v>
      </c>
      <c r="BV34" s="72">
        <v>0</v>
      </c>
      <c r="BW34" s="98">
        <v>0</v>
      </c>
      <c r="BX34" s="70">
        <v>1214.3520000000001</v>
      </c>
      <c r="BY34" s="71">
        <v>354.5</v>
      </c>
      <c r="BZ34" s="72">
        <v>405</v>
      </c>
      <c r="CA34" s="98">
        <v>759.5</v>
      </c>
      <c r="CB34" s="70">
        <v>794.30199999999991</v>
      </c>
      <c r="CC34" s="71">
        <v>0</v>
      </c>
      <c r="CD34" s="72">
        <v>0</v>
      </c>
      <c r="CE34" s="98">
        <v>0</v>
      </c>
      <c r="CF34" s="70">
        <v>274.33299999999997</v>
      </c>
      <c r="CG34" s="71">
        <v>122</v>
      </c>
      <c r="CH34" s="72">
        <v>239</v>
      </c>
      <c r="CI34" s="98">
        <v>361</v>
      </c>
      <c r="CJ34" s="70">
        <v>284.66700000000003</v>
      </c>
      <c r="CK34" s="71">
        <v>270</v>
      </c>
      <c r="CL34" s="72">
        <v>698</v>
      </c>
      <c r="CM34" s="98">
        <v>968</v>
      </c>
      <c r="CN34" s="70">
        <v>312</v>
      </c>
      <c r="CO34" s="71">
        <v>0</v>
      </c>
      <c r="CP34" s="72">
        <v>0</v>
      </c>
      <c r="CQ34" s="98">
        <v>0</v>
      </c>
      <c r="CR34" s="70">
        <v>551.81100000000004</v>
      </c>
      <c r="CS34" s="71">
        <v>54</v>
      </c>
      <c r="CT34" s="72">
        <v>71</v>
      </c>
      <c r="CU34" s="98">
        <v>125</v>
      </c>
      <c r="CV34" s="70">
        <v>0</v>
      </c>
      <c r="CW34" s="71">
        <v>0</v>
      </c>
      <c r="CX34" s="72">
        <v>0</v>
      </c>
      <c r="CY34" s="98">
        <v>0</v>
      </c>
      <c r="CZ34" s="70">
        <v>213</v>
      </c>
      <c r="DA34" s="71">
        <v>153</v>
      </c>
      <c r="DB34" s="72">
        <v>106</v>
      </c>
      <c r="DC34" s="99">
        <v>259</v>
      </c>
      <c r="DD34" s="70">
        <v>213</v>
      </c>
      <c r="DE34" s="71">
        <v>55</v>
      </c>
      <c r="DF34" s="72">
        <v>53</v>
      </c>
      <c r="DG34" s="98">
        <v>108</v>
      </c>
      <c r="DH34" s="70">
        <v>229.333</v>
      </c>
      <c r="DI34" s="71">
        <v>0</v>
      </c>
      <c r="DJ34" s="72">
        <v>0</v>
      </c>
      <c r="DK34" s="98">
        <v>0</v>
      </c>
      <c r="DL34" s="70">
        <v>229.333</v>
      </c>
      <c r="DM34" s="71">
        <v>462</v>
      </c>
      <c r="DN34" s="72">
        <v>297</v>
      </c>
      <c r="DO34" s="98">
        <v>759</v>
      </c>
      <c r="DP34" s="70">
        <f t="shared" ref="DP34:DS34" si="33">DP35+DP36</f>
        <v>213</v>
      </c>
      <c r="DQ34" s="71">
        <f t="shared" si="33"/>
        <v>0</v>
      </c>
      <c r="DR34" s="72">
        <f t="shared" si="33"/>
        <v>0</v>
      </c>
      <c r="DS34" s="99">
        <f t="shared" si="33"/>
        <v>0</v>
      </c>
      <c r="DT34" s="122"/>
    </row>
    <row r="35" spans="1:124" s="25" customFormat="1" ht="15" x14ac:dyDescent="0.2">
      <c r="A35" s="43"/>
      <c r="B35" s="44" t="s">
        <v>120</v>
      </c>
      <c r="C35" s="45" t="s">
        <v>96</v>
      </c>
      <c r="D35" s="41">
        <v>37362.312000000005</v>
      </c>
      <c r="E35" s="158">
        <f>11674.753-401.66</f>
        <v>11273.093000000001</v>
      </c>
      <c r="F35" s="159">
        <f>11837.015-464.342</f>
        <v>11372.672999999999</v>
      </c>
      <c r="G35" s="171">
        <f>E35+F35</f>
        <v>22645.766</v>
      </c>
      <c r="H35" s="41">
        <f>D35</f>
        <v>37362.312000000005</v>
      </c>
      <c r="I35" s="46">
        <v>16783.376</v>
      </c>
      <c r="J35" s="47">
        <v>19205.909</v>
      </c>
      <c r="K35" s="88">
        <f>I35+J35</f>
        <v>35989.285000000003</v>
      </c>
      <c r="L35" s="41">
        <v>31572.739000000001</v>
      </c>
      <c r="M35" s="46"/>
      <c r="N35" s="47"/>
      <c r="O35" s="88">
        <f>M35+N35</f>
        <v>0</v>
      </c>
      <c r="P35" s="41">
        <v>32652.258999999998</v>
      </c>
      <c r="Q35" s="46">
        <v>23088.913</v>
      </c>
      <c r="R35" s="47">
        <v>37457.608999999997</v>
      </c>
      <c r="S35" s="88">
        <v>60546.521999999997</v>
      </c>
      <c r="T35" s="41"/>
      <c r="U35" s="46"/>
      <c r="V35" s="47"/>
      <c r="W35" s="88"/>
      <c r="X35" s="41">
        <v>0</v>
      </c>
      <c r="Y35" s="46"/>
      <c r="Z35" s="47"/>
      <c r="AA35" s="88">
        <v>0</v>
      </c>
      <c r="AB35" s="41"/>
      <c r="AC35" s="46">
        <v>0</v>
      </c>
      <c r="AD35" s="47">
        <v>0</v>
      </c>
      <c r="AE35" s="49">
        <v>0</v>
      </c>
      <c r="AF35" s="41"/>
      <c r="AG35" s="46">
        <v>0</v>
      </c>
      <c r="AH35" s="47">
        <v>0</v>
      </c>
      <c r="AI35" s="49">
        <v>0</v>
      </c>
      <c r="AJ35" s="41"/>
      <c r="AK35" s="46">
        <v>0</v>
      </c>
      <c r="AL35" s="47">
        <v>0</v>
      </c>
      <c r="AM35" s="49">
        <v>0</v>
      </c>
      <c r="AN35" s="41"/>
      <c r="AO35" s="46"/>
      <c r="AP35" s="47"/>
      <c r="AQ35" s="88"/>
      <c r="AR35" s="41">
        <v>7.8729999999999993</v>
      </c>
      <c r="AS35" s="46">
        <v>2</v>
      </c>
      <c r="AT35" s="47">
        <v>1</v>
      </c>
      <c r="AU35" s="89">
        <v>3</v>
      </c>
      <c r="AV35" s="41">
        <v>7.8729999999999993</v>
      </c>
      <c r="AW35" s="46">
        <v>3</v>
      </c>
      <c r="AX35" s="47">
        <v>5.8</v>
      </c>
      <c r="AY35" s="89">
        <v>8.8000000000000007</v>
      </c>
      <c r="AZ35" s="41">
        <v>10.005853072298516</v>
      </c>
      <c r="BA35" s="46"/>
      <c r="BB35" s="47"/>
      <c r="BC35" s="88">
        <v>0</v>
      </c>
      <c r="BD35" s="41">
        <v>9.968</v>
      </c>
      <c r="BE35" s="46">
        <v>4.9810000000000016</v>
      </c>
      <c r="BF35" s="47">
        <v>5.0740000000000052</v>
      </c>
      <c r="BG35" s="88">
        <v>10.055000000000007</v>
      </c>
      <c r="BH35" s="41">
        <v>7.8729999999999993</v>
      </c>
      <c r="BI35" s="46"/>
      <c r="BJ35" s="47"/>
      <c r="BK35" s="89"/>
      <c r="BL35" s="41">
        <v>663.24299999999994</v>
      </c>
      <c r="BM35" s="46">
        <v>527</v>
      </c>
      <c r="BN35" s="47">
        <v>349.5</v>
      </c>
      <c r="BO35" s="88">
        <v>876.5</v>
      </c>
      <c r="BP35" s="41">
        <v>663.24299999999994</v>
      </c>
      <c r="BQ35" s="46">
        <v>349.5</v>
      </c>
      <c r="BR35" s="47">
        <v>370</v>
      </c>
      <c r="BS35" s="88">
        <v>719.5</v>
      </c>
      <c r="BT35" s="41">
        <v>1042.860360063301</v>
      </c>
      <c r="BU35" s="46"/>
      <c r="BV35" s="47"/>
      <c r="BW35" s="88">
        <v>0</v>
      </c>
      <c r="BX35" s="41">
        <v>1011.186</v>
      </c>
      <c r="BY35" s="46">
        <v>324</v>
      </c>
      <c r="BZ35" s="47">
        <v>376</v>
      </c>
      <c r="CA35" s="88">
        <v>700</v>
      </c>
      <c r="CB35" s="41">
        <v>663.24299999999994</v>
      </c>
      <c r="CC35" s="46"/>
      <c r="CD35" s="47"/>
      <c r="CE35" s="88"/>
      <c r="CF35" s="41">
        <v>38.078000000000003</v>
      </c>
      <c r="CG35" s="46">
        <v>98</v>
      </c>
      <c r="CH35" s="47">
        <v>200</v>
      </c>
      <c r="CI35" s="88">
        <v>298</v>
      </c>
      <c r="CJ35" s="41">
        <v>284.66700000000003</v>
      </c>
      <c r="CK35" s="46">
        <v>270</v>
      </c>
      <c r="CL35" s="47">
        <v>698</v>
      </c>
      <c r="CM35" s="88">
        <v>968</v>
      </c>
      <c r="CN35" s="41"/>
      <c r="CO35" s="46"/>
      <c r="CP35" s="47"/>
      <c r="CQ35" s="88">
        <v>0</v>
      </c>
      <c r="CR35" s="41">
        <v>551.81100000000004</v>
      </c>
      <c r="CS35" s="46">
        <v>54</v>
      </c>
      <c r="CT35" s="47">
        <v>71</v>
      </c>
      <c r="CU35" s="88">
        <v>125</v>
      </c>
      <c r="CV35" s="41"/>
      <c r="CW35" s="46"/>
      <c r="CX35" s="47"/>
      <c r="CY35" s="88"/>
      <c r="CZ35" s="41">
        <v>96.914999999999992</v>
      </c>
      <c r="DA35" s="46">
        <v>96</v>
      </c>
      <c r="DB35" s="47">
        <v>89</v>
      </c>
      <c r="DC35" s="89">
        <v>185</v>
      </c>
      <c r="DD35" s="41">
        <v>96.914999999999992</v>
      </c>
      <c r="DE35" s="46">
        <v>48</v>
      </c>
      <c r="DF35" s="47">
        <v>40</v>
      </c>
      <c r="DG35" s="88">
        <v>88</v>
      </c>
      <c r="DH35" s="41">
        <v>104.346515</v>
      </c>
      <c r="DI35" s="46"/>
      <c r="DJ35" s="47"/>
      <c r="DK35" s="88">
        <v>0</v>
      </c>
      <c r="DL35" s="41">
        <v>104.346515</v>
      </c>
      <c r="DM35" s="46">
        <v>269</v>
      </c>
      <c r="DN35" s="47">
        <v>157</v>
      </c>
      <c r="DO35" s="88">
        <v>426</v>
      </c>
      <c r="DP35" s="41">
        <f>CZ35</f>
        <v>96.914999999999992</v>
      </c>
      <c r="DQ35" s="46"/>
      <c r="DR35" s="47"/>
      <c r="DS35" s="89"/>
      <c r="DT35" s="121"/>
    </row>
    <row r="36" spans="1:124" s="25" customFormat="1" ht="15" x14ac:dyDescent="0.2">
      <c r="A36" s="100"/>
      <c r="B36" s="101" t="s">
        <v>128</v>
      </c>
      <c r="C36" s="102" t="s">
        <v>96</v>
      </c>
      <c r="D36" s="103">
        <v>449.96599999999671</v>
      </c>
      <c r="E36" s="174">
        <v>3348.116</v>
      </c>
      <c r="F36" s="175">
        <v>3893.7620000000006</v>
      </c>
      <c r="G36" s="176">
        <f>E36+F36</f>
        <v>7241.8780000000006</v>
      </c>
      <c r="H36" s="107">
        <f>D36</f>
        <v>449.96599999999671</v>
      </c>
      <c r="I36" s="104">
        <v>495</v>
      </c>
      <c r="J36" s="105">
        <v>1269</v>
      </c>
      <c r="K36" s="106">
        <f>I36+J36</f>
        <v>1764</v>
      </c>
      <c r="L36" s="107">
        <v>380.23999999999796</v>
      </c>
      <c r="M36" s="104"/>
      <c r="N36" s="105"/>
      <c r="O36" s="106">
        <f>M36+N36</f>
        <v>0</v>
      </c>
      <c r="P36" s="107">
        <v>393.24100000000197</v>
      </c>
      <c r="Q36" s="104">
        <v>816</v>
      </c>
      <c r="R36" s="105">
        <v>1168</v>
      </c>
      <c r="S36" s="106">
        <v>1984</v>
      </c>
      <c r="T36" s="107">
        <v>449.96599999999671</v>
      </c>
      <c r="U36" s="104"/>
      <c r="V36" s="105"/>
      <c r="W36" s="106"/>
      <c r="X36" s="103">
        <v>333.33299999999997</v>
      </c>
      <c r="Y36" s="104">
        <v>164</v>
      </c>
      <c r="Z36" s="105">
        <v>162</v>
      </c>
      <c r="AA36" s="106">
        <v>326</v>
      </c>
      <c r="AB36" s="107">
        <v>333.33299999999997</v>
      </c>
      <c r="AC36" s="108">
        <v>164</v>
      </c>
      <c r="AD36" s="109">
        <v>162</v>
      </c>
      <c r="AE36" s="110">
        <v>326</v>
      </c>
      <c r="AF36" s="107">
        <v>333.33299999999997</v>
      </c>
      <c r="AG36" s="108"/>
      <c r="AH36" s="109"/>
      <c r="AI36" s="110">
        <v>0</v>
      </c>
      <c r="AJ36" s="107">
        <v>326</v>
      </c>
      <c r="AK36" s="108">
        <v>130</v>
      </c>
      <c r="AL36" s="109">
        <v>125</v>
      </c>
      <c r="AM36" s="110">
        <v>255</v>
      </c>
      <c r="AN36" s="107">
        <v>333.33299999999997</v>
      </c>
      <c r="AO36" s="104"/>
      <c r="AP36" s="105"/>
      <c r="AQ36" s="106"/>
      <c r="AR36" s="107">
        <v>75.793999999999997</v>
      </c>
      <c r="AS36" s="104">
        <v>38</v>
      </c>
      <c r="AT36" s="105">
        <v>37</v>
      </c>
      <c r="AU36" s="106">
        <v>75</v>
      </c>
      <c r="AV36" s="107">
        <v>75.793999999999997</v>
      </c>
      <c r="AW36" s="104">
        <v>38</v>
      </c>
      <c r="AX36" s="105">
        <v>37</v>
      </c>
      <c r="AY36" s="111">
        <v>75</v>
      </c>
      <c r="AZ36" s="107">
        <v>96.327146927701477</v>
      </c>
      <c r="BA36" s="104"/>
      <c r="BB36" s="105"/>
      <c r="BC36" s="106">
        <v>0</v>
      </c>
      <c r="BD36" s="107">
        <v>95.965000000000003</v>
      </c>
      <c r="BE36" s="104">
        <v>38</v>
      </c>
      <c r="BF36" s="105">
        <v>34</v>
      </c>
      <c r="BG36" s="106">
        <v>72</v>
      </c>
      <c r="BH36" s="107">
        <v>75.793999999999997</v>
      </c>
      <c r="BI36" s="104"/>
      <c r="BJ36" s="105"/>
      <c r="BK36" s="111"/>
      <c r="BL36" s="107">
        <v>131.05900000000003</v>
      </c>
      <c r="BM36" s="104">
        <v>55.5</v>
      </c>
      <c r="BN36" s="105">
        <v>53.5</v>
      </c>
      <c r="BO36" s="106">
        <v>109</v>
      </c>
      <c r="BP36" s="107">
        <v>131.05900000000003</v>
      </c>
      <c r="BQ36" s="104">
        <v>30.5</v>
      </c>
      <c r="BR36" s="105">
        <v>29.5</v>
      </c>
      <c r="BS36" s="106">
        <v>60</v>
      </c>
      <c r="BT36" s="107">
        <v>206.0726399366992</v>
      </c>
      <c r="BU36" s="104"/>
      <c r="BV36" s="105"/>
      <c r="BW36" s="106">
        <v>0</v>
      </c>
      <c r="BX36" s="107">
        <v>203.166</v>
      </c>
      <c r="BY36" s="104">
        <v>30.5</v>
      </c>
      <c r="BZ36" s="105">
        <v>29</v>
      </c>
      <c r="CA36" s="106">
        <v>59.5</v>
      </c>
      <c r="CB36" s="107">
        <v>131.05900000000003</v>
      </c>
      <c r="CC36" s="104"/>
      <c r="CD36" s="105"/>
      <c r="CE36" s="106"/>
      <c r="CF36" s="107">
        <v>236.255</v>
      </c>
      <c r="CG36" s="104">
        <v>24</v>
      </c>
      <c r="CH36" s="105">
        <v>39</v>
      </c>
      <c r="CI36" s="106">
        <v>63</v>
      </c>
      <c r="CJ36" s="107"/>
      <c r="CK36" s="104">
        <v>0</v>
      </c>
      <c r="CL36" s="105">
        <v>0</v>
      </c>
      <c r="CM36" s="106">
        <v>0</v>
      </c>
      <c r="CN36" s="107">
        <v>312</v>
      </c>
      <c r="CO36" s="104"/>
      <c r="CP36" s="105"/>
      <c r="CQ36" s="106">
        <v>0</v>
      </c>
      <c r="CR36" s="107"/>
      <c r="CS36" s="104">
        <v>0</v>
      </c>
      <c r="CT36" s="105">
        <v>0</v>
      </c>
      <c r="CU36" s="106">
        <v>0</v>
      </c>
      <c r="CV36" s="107">
        <v>0</v>
      </c>
      <c r="CW36" s="104"/>
      <c r="CX36" s="105"/>
      <c r="CY36" s="106"/>
      <c r="CZ36" s="107">
        <v>116.08500000000001</v>
      </c>
      <c r="DA36" s="104">
        <v>57</v>
      </c>
      <c r="DB36" s="105">
        <v>17</v>
      </c>
      <c r="DC36" s="111">
        <v>74</v>
      </c>
      <c r="DD36" s="107">
        <v>116.08500000000001</v>
      </c>
      <c r="DE36" s="104">
        <v>7</v>
      </c>
      <c r="DF36" s="105">
        <v>13</v>
      </c>
      <c r="DG36" s="106">
        <v>20</v>
      </c>
      <c r="DH36" s="107">
        <v>124.986485</v>
      </c>
      <c r="DI36" s="104"/>
      <c r="DJ36" s="105"/>
      <c r="DK36" s="106">
        <v>0</v>
      </c>
      <c r="DL36" s="107">
        <v>124.986485</v>
      </c>
      <c r="DM36" s="104">
        <v>193</v>
      </c>
      <c r="DN36" s="105">
        <v>140</v>
      </c>
      <c r="DO36" s="106">
        <v>333</v>
      </c>
      <c r="DP36" s="107">
        <f>DD36</f>
        <v>116.08500000000001</v>
      </c>
      <c r="DQ36" s="104"/>
      <c r="DR36" s="105"/>
      <c r="DS36" s="111"/>
      <c r="DT36" s="121"/>
    </row>
    <row r="37" spans="1:124" hidden="1" x14ac:dyDescent="0.2"/>
    <row r="38" spans="1:124" hidden="1" x14ac:dyDescent="0.2">
      <c r="E38" s="142">
        <f>301912.975+282571.548-213779.194-194095.049</f>
        <v>176610.28000000003</v>
      </c>
    </row>
    <row r="39" spans="1:124" hidden="1" x14ac:dyDescent="0.2">
      <c r="E39" s="142">
        <f>213779.194+194095.049</f>
        <v>407874.24300000002</v>
      </c>
    </row>
    <row r="40" spans="1:124" hidden="1" x14ac:dyDescent="0.2"/>
    <row r="41" spans="1:124" ht="28.5" hidden="1" x14ac:dyDescent="0.2">
      <c r="B41" s="113" t="s">
        <v>111</v>
      </c>
      <c r="C41" s="114"/>
      <c r="D41" s="114"/>
      <c r="E41" s="143"/>
      <c r="F41" s="143"/>
      <c r="G41" s="143"/>
    </row>
    <row r="42" spans="1:124" hidden="1" x14ac:dyDescent="0.2">
      <c r="B42" s="115" t="s">
        <v>139</v>
      </c>
      <c r="C42" s="115"/>
      <c r="D42" s="115"/>
      <c r="E42" s="144">
        <v>2091.9360000000001</v>
      </c>
      <c r="F42" s="143">
        <f>3904.496-E42</f>
        <v>1812.56</v>
      </c>
      <c r="G42" s="143"/>
    </row>
    <row r="43" spans="1:124" hidden="1" x14ac:dyDescent="0.2">
      <c r="B43" s="115" t="s">
        <v>140</v>
      </c>
      <c r="C43" s="115"/>
      <c r="D43" s="115"/>
      <c r="E43" s="144">
        <v>1000</v>
      </c>
      <c r="F43" s="143">
        <f>5854.928-E43</f>
        <v>4854.9279999999999</v>
      </c>
      <c r="G43" s="143"/>
    </row>
    <row r="44" spans="1:124" hidden="1" x14ac:dyDescent="0.2">
      <c r="B44" s="115" t="s">
        <v>141</v>
      </c>
      <c r="C44" s="115"/>
      <c r="D44" s="115"/>
      <c r="E44" s="144">
        <v>0</v>
      </c>
      <c r="F44" s="143">
        <v>0</v>
      </c>
      <c r="G44" s="143"/>
    </row>
    <row r="45" spans="1:124" hidden="1" x14ac:dyDescent="0.2">
      <c r="B45" s="115" t="s">
        <v>142</v>
      </c>
      <c r="C45" s="115"/>
      <c r="D45" s="115"/>
      <c r="E45" s="144">
        <v>1748.1</v>
      </c>
      <c r="F45" s="143">
        <f>3681.392-E45</f>
        <v>1933.2919999999999</v>
      </c>
      <c r="G45" s="143"/>
    </row>
    <row r="46" spans="1:124" hidden="1" x14ac:dyDescent="0.2">
      <c r="B46" s="116"/>
      <c r="C46" s="116"/>
      <c r="D46" s="116"/>
      <c r="E46" s="145">
        <f>SUM(E42:E45)</f>
        <v>4840.0360000000001</v>
      </c>
      <c r="F46" s="145">
        <f>SUM(F42:F45)</f>
        <v>8600.7799999999988</v>
      </c>
      <c r="G46" s="143"/>
    </row>
    <row r="47" spans="1:124" hidden="1" x14ac:dyDescent="0.2"/>
    <row r="48" spans="1:124" hidden="1" x14ac:dyDescent="0.2">
      <c r="E48" s="142">
        <f>66095.645+67857.431</f>
        <v>133953.076</v>
      </c>
      <c r="F48" s="142">
        <f>10572.499+10880.914</f>
        <v>21453.413</v>
      </c>
      <c r="G48" s="142">
        <f>11465.637+9738.154</f>
        <v>21203.791000000001</v>
      </c>
    </row>
    <row r="49" spans="5:112" hidden="1" x14ac:dyDescent="0.2"/>
    <row r="50" spans="5:112" hidden="1" x14ac:dyDescent="0.2">
      <c r="E50" s="146">
        <f>E17-E24-E31-E34</f>
        <v>312297.92600000004</v>
      </c>
    </row>
    <row r="51" spans="5:112" hidden="1" x14ac:dyDescent="0.2"/>
    <row r="52" spans="5:112" hidden="1" x14ac:dyDescent="0.2">
      <c r="E52" s="146">
        <f>E50-E18</f>
        <v>0</v>
      </c>
    </row>
    <row r="53" spans="5:112" hidden="1" x14ac:dyDescent="0.2"/>
    <row r="54" spans="5:112" hidden="1" x14ac:dyDescent="0.2"/>
    <row r="55" spans="5:112" x14ac:dyDescent="0.2">
      <c r="CN55" s="210"/>
    </row>
    <row r="56" spans="5:112" x14ac:dyDescent="0.2">
      <c r="L56" s="210"/>
      <c r="AF56" s="210"/>
      <c r="AZ56" s="210"/>
      <c r="BT56" s="210"/>
      <c r="DH56" s="210"/>
    </row>
    <row r="57" spans="5:112" x14ac:dyDescent="0.2">
      <c r="CF57" s="112">
        <f>CF35/CF34</f>
        <v>0.13880211276076887</v>
      </c>
      <c r="CJ57" s="210"/>
    </row>
    <row r="58" spans="5:112" x14ac:dyDescent="0.2">
      <c r="CF58" s="112">
        <f>CF36/CF34</f>
        <v>0.86119788723923119</v>
      </c>
      <c r="CG58" s="142">
        <f>CF19/CF18</f>
        <v>0.74515860352083685</v>
      </c>
    </row>
    <row r="59" spans="5:112" x14ac:dyDescent="0.2">
      <c r="CG59" s="142">
        <f>CF20/CF18</f>
        <v>0.16722412909858503</v>
      </c>
    </row>
    <row r="60" spans="5:112" x14ac:dyDescent="0.2">
      <c r="CG60" s="142">
        <f>CF21/CF18</f>
        <v>8.7617267380578068E-2</v>
      </c>
    </row>
    <row r="61" spans="5:112" x14ac:dyDescent="0.2">
      <c r="CF61" s="112">
        <f>CF32/CF31</f>
        <v>6.9998906989422894E-3</v>
      </c>
    </row>
    <row r="62" spans="5:112" x14ac:dyDescent="0.2">
      <c r="CF62" s="112">
        <f>CF33/CF31</f>
        <v>0.99300010930105775</v>
      </c>
    </row>
    <row r="64" spans="5:112" x14ac:dyDescent="0.2">
      <c r="CF64" s="112">
        <f>CF29/CF28</f>
        <v>0.23260001230189736</v>
      </c>
    </row>
    <row r="65" spans="84:84" x14ac:dyDescent="0.2">
      <c r="CF65" s="112">
        <f>CF30/CF28</f>
        <v>0.76739998769810269</v>
      </c>
    </row>
  </sheetData>
  <mergeCells count="71">
    <mergeCell ref="D2:DG2"/>
    <mergeCell ref="BH4:BK4"/>
    <mergeCell ref="BD4:BG4"/>
    <mergeCell ref="BL3:CE3"/>
    <mergeCell ref="CJ4:CM4"/>
    <mergeCell ref="CN4:CQ4"/>
    <mergeCell ref="BL4:BO4"/>
    <mergeCell ref="CB4:CE4"/>
    <mergeCell ref="BP4:BS4"/>
    <mergeCell ref="CF4:CI4"/>
    <mergeCell ref="BX4:CA4"/>
    <mergeCell ref="BT4:BW4"/>
    <mergeCell ref="CF3:CY3"/>
    <mergeCell ref="CR4:CU4"/>
    <mergeCell ref="CV4:CY4"/>
    <mergeCell ref="AR3:BK3"/>
    <mergeCell ref="CS5:CU5"/>
    <mergeCell ref="DQ5:DS5"/>
    <mergeCell ref="DP4:DS4"/>
    <mergeCell ref="DL4:DO4"/>
    <mergeCell ref="DM5:DO5"/>
    <mergeCell ref="DE5:DG5"/>
    <mergeCell ref="DD4:DG4"/>
    <mergeCell ref="DI5:DK5"/>
    <mergeCell ref="DH4:DK4"/>
    <mergeCell ref="CZ4:DC4"/>
    <mergeCell ref="DA5:DC5"/>
    <mergeCell ref="CW5:CY5"/>
    <mergeCell ref="BY5:CA5"/>
    <mergeCell ref="AW5:AY5"/>
    <mergeCell ref="CZ3:DS3"/>
    <mergeCell ref="AO5:AQ5"/>
    <mergeCell ref="CO5:CQ5"/>
    <mergeCell ref="CK5:CM5"/>
    <mergeCell ref="CC5:CE5"/>
    <mergeCell ref="CG5:CI5"/>
    <mergeCell ref="BM5:BO5"/>
    <mergeCell ref="BU5:BW5"/>
    <mergeCell ref="BQ5:BS5"/>
    <mergeCell ref="BA5:BC5"/>
    <mergeCell ref="BE5:BG5"/>
    <mergeCell ref="BI5:BK5"/>
    <mergeCell ref="AS5:AU5"/>
    <mergeCell ref="AN4:AQ4"/>
    <mergeCell ref="A1:Y1"/>
    <mergeCell ref="H4:K4"/>
    <mergeCell ref="A2:A6"/>
    <mergeCell ref="C2:C6"/>
    <mergeCell ref="B2:B6"/>
    <mergeCell ref="X3:AQ3"/>
    <mergeCell ref="X4:AA4"/>
    <mergeCell ref="L4:O4"/>
    <mergeCell ref="I5:K5"/>
    <mergeCell ref="Y5:AA5"/>
    <mergeCell ref="M5:O5"/>
    <mergeCell ref="Q5:S5"/>
    <mergeCell ref="AG5:AI5"/>
    <mergeCell ref="D3:W3"/>
    <mergeCell ref="T4:W4"/>
    <mergeCell ref="P4:S4"/>
    <mergeCell ref="AZ4:BC4"/>
    <mergeCell ref="AV4:AY4"/>
    <mergeCell ref="AF4:AI4"/>
    <mergeCell ref="AR4:AU4"/>
    <mergeCell ref="E5:G5"/>
    <mergeCell ref="AK5:AM5"/>
    <mergeCell ref="D4:G4"/>
    <mergeCell ref="U5:W5"/>
    <mergeCell ref="AB4:AE4"/>
    <mergeCell ref="AC5:AE5"/>
    <mergeCell ref="AJ4:AM4"/>
  </mergeCells>
  <phoneticPr fontId="3" type="noConversion"/>
  <printOptions horizontalCentered="1"/>
  <pageMargins left="0.39370078740157483" right="0.39370078740157483" top="1.1811023622047245" bottom="0.39370078740157483" header="0.31496062992125984" footer="0.31496062992125984"/>
  <pageSetup paperSize="9" scale="59" fitToWidth="2" orientation="landscape" r:id="rId1"/>
  <headerFooter alignWithMargins="0"/>
  <colBreaks count="1" manualBreakCount="1">
    <brk id="63" max="4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J139"/>
  <sheetViews>
    <sheetView tabSelected="1" topLeftCell="C101" zoomScale="80" zoomScaleNormal="80" workbookViewId="0">
      <selection activeCell="C126" sqref="C126"/>
    </sheetView>
  </sheetViews>
  <sheetFormatPr defaultRowHeight="15.75" x14ac:dyDescent="0.25"/>
  <cols>
    <col min="1" max="1" width="3.7109375" style="124" hidden="1" customWidth="1"/>
    <col min="2" max="2" width="6" style="124" customWidth="1"/>
    <col min="3" max="3" width="48.28515625" style="124" customWidth="1"/>
    <col min="4" max="4" width="15.28515625" style="124" customWidth="1"/>
    <col min="5" max="5" width="18" style="124" customWidth="1"/>
    <col min="6" max="6" width="41.7109375" style="124" customWidth="1"/>
    <col min="7" max="7" width="14" style="124" customWidth="1"/>
    <col min="8" max="8" width="16.42578125" style="124" customWidth="1"/>
    <col min="9" max="9" width="14.85546875" style="124" customWidth="1"/>
    <col min="10" max="10" width="22.5703125" style="124" customWidth="1"/>
    <col min="11" max="16384" width="9.140625" style="124"/>
  </cols>
  <sheetData>
    <row r="1" spans="2:10" ht="42" customHeight="1" x14ac:dyDescent="0.25">
      <c r="B1" s="547" t="s">
        <v>150</v>
      </c>
      <c r="C1" s="547"/>
      <c r="D1" s="547"/>
      <c r="E1" s="547"/>
      <c r="F1" s="547"/>
      <c r="G1" s="547"/>
      <c r="H1" s="547"/>
      <c r="I1" s="547"/>
      <c r="J1" s="547"/>
    </row>
    <row r="2" spans="2:10" ht="19.5" customHeight="1" x14ac:dyDescent="0.25">
      <c r="B2" s="548" t="s">
        <v>151</v>
      </c>
      <c r="C2" s="548"/>
      <c r="D2" s="548"/>
      <c r="E2" s="548"/>
      <c r="F2" s="548"/>
      <c r="G2" s="548"/>
      <c r="H2" s="548"/>
      <c r="I2" s="548"/>
      <c r="J2" s="548"/>
    </row>
    <row r="3" spans="2:10" ht="19.5" customHeight="1" x14ac:dyDescent="0.25">
      <c r="B3" s="549" t="s">
        <v>21</v>
      </c>
      <c r="C3" s="551" t="s">
        <v>181</v>
      </c>
      <c r="D3" s="552"/>
      <c r="E3" s="552"/>
      <c r="F3" s="553" t="s">
        <v>137</v>
      </c>
      <c r="G3" s="554"/>
      <c r="H3" s="555"/>
      <c r="I3" s="556" t="s">
        <v>182</v>
      </c>
      <c r="J3" s="557" t="s">
        <v>183</v>
      </c>
    </row>
    <row r="4" spans="2:10" ht="96.75" customHeight="1" x14ac:dyDescent="0.25">
      <c r="B4" s="550"/>
      <c r="C4" s="16" t="s">
        <v>22</v>
      </c>
      <c r="D4" s="16" t="s">
        <v>1</v>
      </c>
      <c r="E4" s="17" t="s">
        <v>23</v>
      </c>
      <c r="F4" s="128" t="s">
        <v>22</v>
      </c>
      <c r="G4" s="128" t="s">
        <v>1</v>
      </c>
      <c r="H4" s="128" t="s">
        <v>23</v>
      </c>
      <c r="I4" s="556"/>
      <c r="J4" s="558"/>
    </row>
    <row r="5" spans="2:10" x14ac:dyDescent="0.25">
      <c r="B5" s="16">
        <v>1</v>
      </c>
      <c r="C5" s="16">
        <v>2</v>
      </c>
      <c r="D5" s="16">
        <v>3</v>
      </c>
      <c r="E5" s="17">
        <v>4</v>
      </c>
      <c r="F5" s="128">
        <v>5</v>
      </c>
      <c r="G5" s="128">
        <v>6</v>
      </c>
      <c r="H5" s="128">
        <v>7</v>
      </c>
      <c r="I5" s="128">
        <v>8</v>
      </c>
      <c r="J5" s="128">
        <v>9</v>
      </c>
    </row>
    <row r="6" spans="2:10" ht="15.75" customHeight="1" x14ac:dyDescent="0.25">
      <c r="B6" s="343" t="s">
        <v>6</v>
      </c>
      <c r="C6" s="530" t="s">
        <v>15</v>
      </c>
      <c r="D6" s="531"/>
      <c r="E6" s="531"/>
      <c r="F6" s="531"/>
      <c r="G6" s="531"/>
      <c r="H6" s="531"/>
      <c r="I6" s="531"/>
      <c r="J6" s="532"/>
    </row>
    <row r="7" spans="2:10" ht="51.75" hidden="1" customHeight="1" x14ac:dyDescent="0.25">
      <c r="B7" s="344" t="s">
        <v>7</v>
      </c>
      <c r="C7" s="232" t="s">
        <v>152</v>
      </c>
      <c r="D7" s="527" t="s">
        <v>145</v>
      </c>
      <c r="E7" s="229">
        <v>1040</v>
      </c>
      <c r="F7" s="230"/>
      <c r="G7" s="527" t="s">
        <v>145</v>
      </c>
      <c r="H7" s="226"/>
      <c r="I7" s="229">
        <f t="shared" ref="I7:I12" si="0">H7-E7</f>
        <v>-1040</v>
      </c>
      <c r="J7" s="345" t="s">
        <v>208</v>
      </c>
    </row>
    <row r="8" spans="2:10" ht="50.25" hidden="1" customHeight="1" x14ac:dyDescent="0.25">
      <c r="B8" s="344" t="s">
        <v>8</v>
      </c>
      <c r="C8" s="232" t="s">
        <v>153</v>
      </c>
      <c r="D8" s="528"/>
      <c r="E8" s="229">
        <v>1237</v>
      </c>
      <c r="F8" s="230"/>
      <c r="G8" s="528"/>
      <c r="H8" s="226"/>
      <c r="I8" s="229">
        <f t="shared" si="0"/>
        <v>-1237</v>
      </c>
      <c r="J8" s="345" t="s">
        <v>209</v>
      </c>
    </row>
    <row r="9" spans="2:10" ht="51.75" hidden="1" customHeight="1" x14ac:dyDescent="0.25">
      <c r="B9" s="344" t="s">
        <v>9</v>
      </c>
      <c r="C9" s="232" t="s">
        <v>154</v>
      </c>
      <c r="D9" s="528"/>
      <c r="E9" s="229">
        <v>2046</v>
      </c>
      <c r="F9" s="230"/>
      <c r="G9" s="528"/>
      <c r="H9" s="226"/>
      <c r="I9" s="229">
        <f t="shared" si="0"/>
        <v>-2046</v>
      </c>
      <c r="J9" s="345" t="s">
        <v>210</v>
      </c>
    </row>
    <row r="10" spans="2:10" ht="50.25" hidden="1" customHeight="1" x14ac:dyDescent="0.25">
      <c r="B10" s="344" t="s">
        <v>10</v>
      </c>
      <c r="C10" s="232" t="s">
        <v>155</v>
      </c>
      <c r="D10" s="528"/>
      <c r="E10" s="229">
        <v>139</v>
      </c>
      <c r="F10" s="370" t="s">
        <v>155</v>
      </c>
      <c r="G10" s="528"/>
      <c r="H10" s="233">
        <v>71.39</v>
      </c>
      <c r="I10" s="229">
        <f t="shared" si="0"/>
        <v>-67.61</v>
      </c>
      <c r="J10" s="345" t="s">
        <v>190</v>
      </c>
    </row>
    <row r="11" spans="2:10" ht="126" hidden="1" x14ac:dyDescent="0.25">
      <c r="B11" s="344" t="s">
        <v>11</v>
      </c>
      <c r="C11" s="232" t="s">
        <v>156</v>
      </c>
      <c r="D11" s="528"/>
      <c r="E11" s="229">
        <v>535.9</v>
      </c>
      <c r="F11" s="370" t="s">
        <v>156</v>
      </c>
      <c r="G11" s="528"/>
      <c r="H11" s="233">
        <v>158.59800000000001</v>
      </c>
      <c r="I11" s="229">
        <f t="shared" si="0"/>
        <v>-377.30199999999996</v>
      </c>
      <c r="J11" s="345" t="s">
        <v>190</v>
      </c>
    </row>
    <row r="12" spans="2:10" ht="34.5" hidden="1" customHeight="1" x14ac:dyDescent="0.25">
      <c r="B12" s="344" t="s">
        <v>157</v>
      </c>
      <c r="C12" s="230" t="s">
        <v>158</v>
      </c>
      <c r="D12" s="528"/>
      <c r="E12" s="229">
        <v>469.6</v>
      </c>
      <c r="F12" s="230"/>
      <c r="G12" s="528"/>
      <c r="H12" s="226"/>
      <c r="I12" s="229">
        <f t="shared" si="0"/>
        <v>-469.6</v>
      </c>
      <c r="J12" s="345" t="s">
        <v>211</v>
      </c>
    </row>
    <row r="13" spans="2:10" ht="15.75" hidden="1" customHeight="1" x14ac:dyDescent="0.25">
      <c r="B13" s="227"/>
      <c r="C13" s="371"/>
      <c r="D13" s="528"/>
      <c r="E13" s="226"/>
      <c r="F13" s="230"/>
      <c r="G13" s="528"/>
      <c r="H13" s="226"/>
      <c r="I13" s="229"/>
      <c r="J13" s="231"/>
    </row>
    <row r="14" spans="2:10" ht="15.75" hidden="1" customHeight="1" x14ac:dyDescent="0.25">
      <c r="B14" s="227"/>
      <c r="C14" s="371"/>
      <c r="D14" s="528"/>
      <c r="E14" s="226"/>
      <c r="F14" s="230"/>
      <c r="G14" s="528"/>
      <c r="H14" s="226"/>
      <c r="I14" s="229"/>
      <c r="J14" s="231"/>
    </row>
    <row r="15" spans="2:10" ht="15.75" hidden="1" customHeight="1" x14ac:dyDescent="0.25">
      <c r="B15" s="227"/>
      <c r="C15" s="371"/>
      <c r="D15" s="528"/>
      <c r="E15" s="226"/>
      <c r="F15" s="230"/>
      <c r="G15" s="528"/>
      <c r="H15" s="226"/>
      <c r="I15" s="229"/>
      <c r="J15" s="231"/>
    </row>
    <row r="16" spans="2:10" ht="15.75" hidden="1" customHeight="1" x14ac:dyDescent="0.25">
      <c r="B16" s="227"/>
      <c r="C16" s="371"/>
      <c r="D16" s="528"/>
      <c r="E16" s="226"/>
      <c r="F16" s="230"/>
      <c r="G16" s="528"/>
      <c r="H16" s="226"/>
      <c r="I16" s="229"/>
      <c r="J16" s="231"/>
    </row>
    <row r="17" spans="2:10" ht="15.75" hidden="1" customHeight="1" x14ac:dyDescent="0.25">
      <c r="B17" s="227"/>
      <c r="C17" s="371"/>
      <c r="D17" s="528"/>
      <c r="E17" s="226"/>
      <c r="F17" s="230"/>
      <c r="G17" s="528"/>
      <c r="H17" s="226"/>
      <c r="I17" s="229"/>
      <c r="J17" s="231"/>
    </row>
    <row r="18" spans="2:10" s="138" customFormat="1" ht="15.75" hidden="1" customHeight="1" x14ac:dyDescent="0.25">
      <c r="B18" s="343"/>
      <c r="C18" s="372" t="s">
        <v>24</v>
      </c>
      <c r="D18" s="529"/>
      <c r="E18" s="346">
        <f>SUM(E7:E17)</f>
        <v>5467.5</v>
      </c>
      <c r="F18" s="373"/>
      <c r="G18" s="529"/>
      <c r="H18" s="346">
        <f>SUM(H7:H17)</f>
        <v>229.988</v>
      </c>
      <c r="I18" s="347">
        <f>H18-E18</f>
        <v>-5237.5119999999997</v>
      </c>
      <c r="J18" s="348"/>
    </row>
    <row r="19" spans="2:10" s="224" customFormat="1" ht="31.5" hidden="1" x14ac:dyDescent="0.25">
      <c r="B19" s="527" t="s">
        <v>7</v>
      </c>
      <c r="C19" s="559" t="s">
        <v>159</v>
      </c>
      <c r="D19" s="527" t="s">
        <v>146</v>
      </c>
      <c r="E19" s="542">
        <v>5575.1669225999985</v>
      </c>
      <c r="F19" s="225" t="s">
        <v>158</v>
      </c>
      <c r="G19" s="527" t="s">
        <v>146</v>
      </c>
      <c r="H19" s="226">
        <v>232.52</v>
      </c>
      <c r="I19" s="542">
        <f>H19+H20-E19</f>
        <v>-4882.2169225999987</v>
      </c>
      <c r="J19" s="544" t="s">
        <v>220</v>
      </c>
    </row>
    <row r="20" spans="2:10" s="224" customFormat="1" ht="135.75" hidden="1" customHeight="1" x14ac:dyDescent="0.25">
      <c r="B20" s="529"/>
      <c r="C20" s="560"/>
      <c r="D20" s="528"/>
      <c r="E20" s="543"/>
      <c r="F20" s="225" t="s">
        <v>221</v>
      </c>
      <c r="G20" s="528"/>
      <c r="H20" s="226">
        <v>460.43</v>
      </c>
      <c r="I20" s="543"/>
      <c r="J20" s="545"/>
    </row>
    <row r="21" spans="2:10" ht="30" hidden="1" customHeight="1" x14ac:dyDescent="0.25">
      <c r="B21" s="227" t="s">
        <v>7</v>
      </c>
      <c r="C21" s="374" t="s">
        <v>159</v>
      </c>
      <c r="D21" s="527" t="s">
        <v>147</v>
      </c>
      <c r="E21" s="544">
        <v>5718.1142024954597</v>
      </c>
      <c r="F21" s="371"/>
      <c r="G21" s="527" t="s">
        <v>147</v>
      </c>
      <c r="H21" s="226"/>
      <c r="I21" s="226"/>
      <c r="J21" s="231"/>
    </row>
    <row r="22" spans="2:10" hidden="1" x14ac:dyDescent="0.25">
      <c r="B22" s="227"/>
      <c r="C22" s="230"/>
      <c r="D22" s="528"/>
      <c r="E22" s="546"/>
      <c r="F22" s="230"/>
      <c r="G22" s="528"/>
      <c r="H22" s="226"/>
      <c r="I22" s="226"/>
      <c r="J22" s="231"/>
    </row>
    <row r="23" spans="2:10" hidden="1" x14ac:dyDescent="0.25">
      <c r="B23" s="227"/>
      <c r="C23" s="230"/>
      <c r="D23" s="528"/>
      <c r="E23" s="546"/>
      <c r="F23" s="230"/>
      <c r="G23" s="528"/>
      <c r="H23" s="226"/>
      <c r="I23" s="226"/>
      <c r="J23" s="231"/>
    </row>
    <row r="24" spans="2:10" ht="18.75" hidden="1" customHeight="1" x14ac:dyDescent="0.25">
      <c r="B24" s="227"/>
      <c r="C24" s="230"/>
      <c r="D24" s="529"/>
      <c r="E24" s="545"/>
      <c r="F24" s="230"/>
      <c r="G24" s="529"/>
      <c r="H24" s="226"/>
      <c r="I24" s="226"/>
      <c r="J24" s="231"/>
    </row>
    <row r="25" spans="2:10" ht="18.75" hidden="1" customHeight="1" x14ac:dyDescent="0.25">
      <c r="B25" s="227"/>
      <c r="C25" s="373" t="s">
        <v>24</v>
      </c>
      <c r="D25" s="227"/>
      <c r="E25" s="346">
        <f>SUM(E21:E24)</f>
        <v>5718.1142024954597</v>
      </c>
      <c r="F25" s="230"/>
      <c r="G25" s="228"/>
      <c r="H25" s="346">
        <f>SUM(H21:H24)</f>
        <v>0</v>
      </c>
      <c r="I25" s="346">
        <f>SUM(I21:I24)</f>
        <v>0</v>
      </c>
      <c r="J25" s="231"/>
    </row>
    <row r="26" spans="2:10" ht="53.25" customHeight="1" x14ac:dyDescent="0.25">
      <c r="B26" s="227" t="s">
        <v>7</v>
      </c>
      <c r="C26" s="230" t="s">
        <v>247</v>
      </c>
      <c r="D26" s="527" t="s">
        <v>148</v>
      </c>
      <c r="E26" s="229">
        <v>1011.8541245</v>
      </c>
      <c r="F26" s="232" t="s">
        <v>259</v>
      </c>
      <c r="G26" s="527" t="s">
        <v>148</v>
      </c>
      <c r="H26" s="229">
        <v>804.12</v>
      </c>
      <c r="I26" s="226"/>
      <c r="J26" s="231"/>
    </row>
    <row r="27" spans="2:10" ht="51.75" customHeight="1" x14ac:dyDescent="0.25">
      <c r="B27" s="227" t="s">
        <v>8</v>
      </c>
      <c r="C27" s="230" t="s">
        <v>248</v>
      </c>
      <c r="D27" s="528"/>
      <c r="E27" s="229">
        <v>1764.1831299999999</v>
      </c>
      <c r="F27" s="232" t="s">
        <v>260</v>
      </c>
      <c r="G27" s="528"/>
      <c r="H27" s="229">
        <v>1498.88</v>
      </c>
      <c r="I27" s="226"/>
      <c r="J27" s="231"/>
    </row>
    <row r="28" spans="2:10" ht="49.5" customHeight="1" x14ac:dyDescent="0.25">
      <c r="B28" s="227" t="s">
        <v>9</v>
      </c>
      <c r="C28" s="230" t="s">
        <v>249</v>
      </c>
      <c r="D28" s="528"/>
      <c r="E28" s="229">
        <v>1302.19965</v>
      </c>
      <c r="F28" s="232" t="s">
        <v>261</v>
      </c>
      <c r="G28" s="528"/>
      <c r="H28" s="229">
        <v>420.35</v>
      </c>
      <c r="I28" s="226"/>
      <c r="J28" s="231"/>
    </row>
    <row r="29" spans="2:10" ht="18" customHeight="1" x14ac:dyDescent="0.25">
      <c r="B29" s="227" t="s">
        <v>10</v>
      </c>
      <c r="C29" s="230" t="s">
        <v>159</v>
      </c>
      <c r="D29" s="529"/>
      <c r="E29" s="229">
        <v>1826.1162775707403</v>
      </c>
      <c r="F29" s="373" t="s">
        <v>257</v>
      </c>
      <c r="G29" s="529"/>
      <c r="H29" s="226">
        <v>218.20740000000001</v>
      </c>
      <c r="I29" s="226"/>
      <c r="J29" s="231"/>
    </row>
    <row r="30" spans="2:10" s="138" customFormat="1" ht="15" customHeight="1" x14ac:dyDescent="0.25">
      <c r="B30" s="343"/>
      <c r="C30" s="373" t="s">
        <v>24</v>
      </c>
      <c r="D30" s="349"/>
      <c r="E30" s="375">
        <f>SUM(E26:E29)</f>
        <v>5904.3531820707403</v>
      </c>
      <c r="F30" s="373" t="s">
        <v>24</v>
      </c>
      <c r="G30" s="349"/>
      <c r="H30" s="375">
        <f>SUM(H26:H29)</f>
        <v>2941.5573999999997</v>
      </c>
      <c r="I30" s="375">
        <f>H30-E30</f>
        <v>-2962.7957820707406</v>
      </c>
      <c r="J30" s="348"/>
    </row>
    <row r="31" spans="2:10" ht="15.75" hidden="1" customHeight="1" x14ac:dyDescent="0.25">
      <c r="B31" s="227" t="s">
        <v>160</v>
      </c>
      <c r="C31" s="230" t="s">
        <v>159</v>
      </c>
      <c r="D31" s="334" t="s">
        <v>149</v>
      </c>
      <c r="E31" s="226">
        <v>6067.487546750096</v>
      </c>
      <c r="F31" s="230"/>
      <c r="G31" s="334"/>
      <c r="H31" s="226"/>
      <c r="I31" s="226"/>
      <c r="J31" s="231"/>
    </row>
    <row r="32" spans="2:10" ht="15.75" customHeight="1" x14ac:dyDescent="0.25">
      <c r="B32" s="343" t="s">
        <v>12</v>
      </c>
      <c r="C32" s="530" t="s">
        <v>5</v>
      </c>
      <c r="D32" s="531"/>
      <c r="E32" s="531"/>
      <c r="F32" s="531"/>
      <c r="G32" s="531"/>
      <c r="H32" s="531"/>
      <c r="I32" s="531"/>
      <c r="J32" s="532"/>
    </row>
    <row r="33" spans="2:10" ht="236.25" hidden="1" x14ac:dyDescent="0.25">
      <c r="B33" s="344" t="s">
        <v>13</v>
      </c>
      <c r="C33" s="374" t="s">
        <v>161</v>
      </c>
      <c r="D33" s="527" t="s">
        <v>145</v>
      </c>
      <c r="E33" s="350">
        <v>2274</v>
      </c>
      <c r="F33" s="371"/>
      <c r="G33" s="527" t="s">
        <v>145</v>
      </c>
      <c r="H33" s="351"/>
      <c r="I33" s="350">
        <f>H33-E33</f>
        <v>-2274</v>
      </c>
      <c r="J33" s="352" t="s">
        <v>212</v>
      </c>
    </row>
    <row r="34" spans="2:10" ht="126" hidden="1" x14ac:dyDescent="0.25">
      <c r="B34" s="344" t="s">
        <v>14</v>
      </c>
      <c r="C34" s="374" t="s">
        <v>191</v>
      </c>
      <c r="D34" s="529"/>
      <c r="E34" s="350">
        <v>192</v>
      </c>
      <c r="F34" s="336" t="s">
        <v>191</v>
      </c>
      <c r="G34" s="529"/>
      <c r="H34" s="351">
        <v>65.266000000000005</v>
      </c>
      <c r="I34" s="350">
        <f>H34-E34</f>
        <v>-126.73399999999999</v>
      </c>
      <c r="J34" s="345" t="s">
        <v>190</v>
      </c>
    </row>
    <row r="35" spans="2:10" hidden="1" x14ac:dyDescent="0.25">
      <c r="B35" s="334"/>
      <c r="C35" s="376"/>
      <c r="D35" s="334"/>
      <c r="E35" s="351"/>
      <c r="F35" s="371"/>
      <c r="G35" s="334"/>
      <c r="H35" s="351"/>
      <c r="I35" s="350"/>
      <c r="J35" s="338"/>
    </row>
    <row r="36" spans="2:10" hidden="1" x14ac:dyDescent="0.25">
      <c r="B36" s="334"/>
      <c r="C36" s="371"/>
      <c r="D36" s="334"/>
      <c r="E36" s="351"/>
      <c r="F36" s="371"/>
      <c r="G36" s="334"/>
      <c r="H36" s="351"/>
      <c r="I36" s="350"/>
      <c r="J36" s="338"/>
    </row>
    <row r="37" spans="2:10" hidden="1" x14ac:dyDescent="0.25">
      <c r="B37" s="334"/>
      <c r="C37" s="371"/>
      <c r="D37" s="334"/>
      <c r="E37" s="351"/>
      <c r="F37" s="371"/>
      <c r="G37" s="334"/>
      <c r="H37" s="351"/>
      <c r="I37" s="350"/>
      <c r="J37" s="338"/>
    </row>
    <row r="38" spans="2:10" s="138" customFormat="1" ht="15.75" hidden="1" customHeight="1" x14ac:dyDescent="0.25">
      <c r="B38" s="343"/>
      <c r="C38" s="372" t="s">
        <v>24</v>
      </c>
      <c r="D38" s="349"/>
      <c r="E38" s="346">
        <f>SUM(E33:E37)</f>
        <v>2466</v>
      </c>
      <c r="F38" s="373"/>
      <c r="G38" s="343"/>
      <c r="H38" s="346">
        <f>SUM(H33:H37)</f>
        <v>65.266000000000005</v>
      </c>
      <c r="I38" s="347">
        <f>H38-E38</f>
        <v>-2400.7339999999999</v>
      </c>
      <c r="J38" s="348"/>
    </row>
    <row r="39" spans="2:10" s="224" customFormat="1" ht="64.5" hidden="1" customHeight="1" x14ac:dyDescent="0.25">
      <c r="B39" s="227" t="s">
        <v>13</v>
      </c>
      <c r="C39" s="228" t="s">
        <v>159</v>
      </c>
      <c r="D39" s="227" t="s">
        <v>146</v>
      </c>
      <c r="E39" s="229">
        <v>2318.7978000000003</v>
      </c>
      <c r="F39" s="230"/>
      <c r="G39" s="353"/>
      <c r="H39" s="226">
        <v>0</v>
      </c>
      <c r="I39" s="229">
        <v>-2318.7978000000003</v>
      </c>
      <c r="J39" s="231" t="s">
        <v>222</v>
      </c>
    </row>
    <row r="40" spans="2:10" ht="30.75" hidden="1" customHeight="1" x14ac:dyDescent="0.25">
      <c r="B40" s="227" t="s">
        <v>13</v>
      </c>
      <c r="C40" s="228" t="s">
        <v>159</v>
      </c>
      <c r="D40" s="527" t="s">
        <v>147</v>
      </c>
      <c r="E40" s="539">
        <v>2378.2517755920007</v>
      </c>
      <c r="F40" s="230"/>
      <c r="G40" s="527" t="s">
        <v>147</v>
      </c>
      <c r="H40" s="226"/>
      <c r="I40" s="226"/>
      <c r="J40" s="231"/>
    </row>
    <row r="41" spans="2:10" ht="15.75" hidden="1" customHeight="1" x14ac:dyDescent="0.25">
      <c r="B41" s="227" t="s">
        <v>72</v>
      </c>
      <c r="C41" s="228" t="s">
        <v>159</v>
      </c>
      <c r="D41" s="528"/>
      <c r="E41" s="540"/>
      <c r="F41" s="228"/>
      <c r="G41" s="528"/>
      <c r="H41" s="226"/>
      <c r="I41" s="226"/>
      <c r="J41" s="231"/>
    </row>
    <row r="42" spans="2:10" ht="15.75" hidden="1" customHeight="1" x14ac:dyDescent="0.25">
      <c r="B42" s="227" t="s">
        <v>162</v>
      </c>
      <c r="C42" s="228" t="s">
        <v>159</v>
      </c>
      <c r="D42" s="528"/>
      <c r="E42" s="540"/>
      <c r="F42" s="228"/>
      <c r="G42" s="528"/>
      <c r="H42" s="226"/>
      <c r="I42" s="226"/>
      <c r="J42" s="231"/>
    </row>
    <row r="43" spans="2:10" ht="15" hidden="1" customHeight="1" x14ac:dyDescent="0.25">
      <c r="B43" s="227" t="s">
        <v>163</v>
      </c>
      <c r="C43" s="228" t="s">
        <v>159</v>
      </c>
      <c r="D43" s="529"/>
      <c r="E43" s="541"/>
      <c r="F43" s="228"/>
      <c r="G43" s="529"/>
      <c r="H43" s="226"/>
      <c r="I43" s="226"/>
      <c r="J43" s="231"/>
    </row>
    <row r="44" spans="2:10" ht="15.75" hidden="1" customHeight="1" x14ac:dyDescent="0.25">
      <c r="B44" s="343"/>
      <c r="C44" s="372" t="s">
        <v>24</v>
      </c>
      <c r="D44" s="349"/>
      <c r="E44" s="346">
        <f>SUM(E40:E43)</f>
        <v>2378.2517755920007</v>
      </c>
      <c r="F44" s="373"/>
      <c r="G44" s="343"/>
      <c r="H44" s="346">
        <f>SUM(H40:H43)</f>
        <v>0</v>
      </c>
      <c r="I44" s="347">
        <f>SUM(I40:I43)</f>
        <v>0</v>
      </c>
      <c r="J44" s="348"/>
    </row>
    <row r="45" spans="2:10" ht="47.25" customHeight="1" x14ac:dyDescent="0.25">
      <c r="B45" s="227" t="s">
        <v>13</v>
      </c>
      <c r="C45" s="228" t="s">
        <v>244</v>
      </c>
      <c r="D45" s="527" t="s">
        <v>233</v>
      </c>
      <c r="E45" s="377">
        <v>1130.584376</v>
      </c>
      <c r="F45" s="230" t="s">
        <v>262</v>
      </c>
      <c r="G45" s="527" t="s">
        <v>148</v>
      </c>
      <c r="H45" s="229">
        <v>2449.6098499999998</v>
      </c>
      <c r="I45" s="226"/>
      <c r="J45" s="231"/>
    </row>
    <row r="46" spans="2:10" ht="46.5" customHeight="1" x14ac:dyDescent="0.25">
      <c r="B46" s="227" t="s">
        <v>14</v>
      </c>
      <c r="C46" s="228" t="s">
        <v>245</v>
      </c>
      <c r="D46" s="528"/>
      <c r="E46" s="301">
        <v>423.78002733333341</v>
      </c>
      <c r="F46" s="232" t="s">
        <v>258</v>
      </c>
      <c r="G46" s="528"/>
      <c r="H46" s="229">
        <v>916.32500000000005</v>
      </c>
      <c r="I46" s="226"/>
      <c r="J46" s="231"/>
    </row>
    <row r="47" spans="2:10" ht="35.25" customHeight="1" x14ac:dyDescent="0.25">
      <c r="B47" s="227" t="s">
        <v>283</v>
      </c>
      <c r="C47" s="228" t="s">
        <v>246</v>
      </c>
      <c r="D47" s="528"/>
      <c r="E47" s="301">
        <v>342.82639154999998</v>
      </c>
      <c r="F47" s="228"/>
      <c r="G47" s="528"/>
      <c r="H47" s="229"/>
      <c r="I47" s="226"/>
      <c r="J47" s="231"/>
    </row>
    <row r="48" spans="2:10" ht="15.75" customHeight="1" x14ac:dyDescent="0.25">
      <c r="B48" s="227" t="s">
        <v>72</v>
      </c>
      <c r="C48" s="228" t="s">
        <v>159</v>
      </c>
      <c r="D48" s="529"/>
      <c r="E48" s="301">
        <v>558.52</v>
      </c>
      <c r="F48" s="354" t="s">
        <v>257</v>
      </c>
      <c r="G48" s="529"/>
      <c r="H48" s="229">
        <v>32.123899999999999</v>
      </c>
      <c r="I48" s="226"/>
      <c r="J48" s="231"/>
    </row>
    <row r="49" spans="2:10" ht="15.75" customHeight="1" x14ac:dyDescent="0.25">
      <c r="B49" s="227"/>
      <c r="C49" s="373" t="s">
        <v>24</v>
      </c>
      <c r="D49" s="227"/>
      <c r="E49" s="360">
        <f>SUM(E45:E48)</f>
        <v>2455.7107948833336</v>
      </c>
      <c r="F49" s="373" t="s">
        <v>24</v>
      </c>
      <c r="G49" s="227"/>
      <c r="H49" s="360">
        <f>SUM(H45:H48)</f>
        <v>3398.0587499999997</v>
      </c>
      <c r="I49" s="360">
        <f>H49-E49</f>
        <v>942.34795511666607</v>
      </c>
      <c r="J49" s="231"/>
    </row>
    <row r="50" spans="2:10" ht="15.75" customHeight="1" x14ac:dyDescent="0.25">
      <c r="B50" s="343" t="s">
        <v>20</v>
      </c>
      <c r="C50" s="530" t="s">
        <v>16</v>
      </c>
      <c r="D50" s="531"/>
      <c r="E50" s="531"/>
      <c r="F50" s="531"/>
      <c r="G50" s="531"/>
      <c r="H50" s="531"/>
      <c r="I50" s="531"/>
      <c r="J50" s="532"/>
    </row>
    <row r="51" spans="2:10" ht="52.5" hidden="1" customHeight="1" x14ac:dyDescent="0.25">
      <c r="B51" s="344" t="s">
        <v>40</v>
      </c>
      <c r="C51" s="232" t="s">
        <v>164</v>
      </c>
      <c r="D51" s="527" t="s">
        <v>145</v>
      </c>
      <c r="E51" s="226">
        <v>807</v>
      </c>
      <c r="F51" s="230"/>
      <c r="G51" s="527" t="s">
        <v>145</v>
      </c>
      <c r="H51" s="226"/>
      <c r="I51" s="351">
        <f>H51-E51</f>
        <v>-807</v>
      </c>
      <c r="J51" s="345" t="s">
        <v>213</v>
      </c>
    </row>
    <row r="52" spans="2:10" ht="14.25" hidden="1" customHeight="1" x14ac:dyDescent="0.25">
      <c r="B52" s="227"/>
      <c r="C52" s="232"/>
      <c r="D52" s="528"/>
      <c r="E52" s="226"/>
      <c r="F52" s="370"/>
      <c r="G52" s="528"/>
      <c r="H52" s="226"/>
      <c r="I52" s="226"/>
      <c r="J52" s="231"/>
    </row>
    <row r="53" spans="2:10" ht="12.75" hidden="1" customHeight="1" x14ac:dyDescent="0.25">
      <c r="B53" s="227"/>
      <c r="C53" s="230"/>
      <c r="D53" s="528"/>
      <c r="E53" s="226"/>
      <c r="F53" s="230"/>
      <c r="G53" s="528"/>
      <c r="H53" s="226"/>
      <c r="I53" s="226"/>
      <c r="J53" s="231"/>
    </row>
    <row r="54" spans="2:10" ht="12.75" hidden="1" customHeight="1" x14ac:dyDescent="0.25">
      <c r="B54" s="227"/>
      <c r="C54" s="230"/>
      <c r="D54" s="528"/>
      <c r="E54" s="226"/>
      <c r="F54" s="230"/>
      <c r="G54" s="528"/>
      <c r="H54" s="226"/>
      <c r="I54" s="226"/>
      <c r="J54" s="231"/>
    </row>
    <row r="55" spans="2:10" ht="12.75" hidden="1" customHeight="1" x14ac:dyDescent="0.25">
      <c r="B55" s="227"/>
      <c r="C55" s="230"/>
      <c r="D55" s="528"/>
      <c r="E55" s="226"/>
      <c r="F55" s="230"/>
      <c r="G55" s="528"/>
      <c r="H55" s="226"/>
      <c r="I55" s="226"/>
      <c r="J55" s="231"/>
    </row>
    <row r="56" spans="2:10" ht="12.75" hidden="1" customHeight="1" x14ac:dyDescent="0.25">
      <c r="B56" s="227"/>
      <c r="C56" s="230"/>
      <c r="D56" s="528"/>
      <c r="E56" s="226"/>
      <c r="F56" s="230"/>
      <c r="G56" s="528"/>
      <c r="H56" s="226"/>
      <c r="I56" s="226"/>
      <c r="J56" s="231"/>
    </row>
    <row r="57" spans="2:10" s="138" customFormat="1" ht="15.75" hidden="1" customHeight="1" x14ac:dyDescent="0.25">
      <c r="B57" s="343"/>
      <c r="C57" s="372" t="s">
        <v>24</v>
      </c>
      <c r="D57" s="529"/>
      <c r="E57" s="346">
        <f>SUM(E51:E56)</f>
        <v>807</v>
      </c>
      <c r="F57" s="373"/>
      <c r="G57" s="529"/>
      <c r="H57" s="346">
        <f>SUM(H51:H56)</f>
        <v>0</v>
      </c>
      <c r="I57" s="355">
        <f>H57-E57</f>
        <v>-807</v>
      </c>
      <c r="J57" s="348"/>
    </row>
    <row r="58" spans="2:10" s="224" customFormat="1" ht="74.25" hidden="1" customHeight="1" x14ac:dyDescent="0.25">
      <c r="B58" s="227" t="s">
        <v>40</v>
      </c>
      <c r="C58" s="232" t="s">
        <v>159</v>
      </c>
      <c r="D58" s="227" t="s">
        <v>146</v>
      </c>
      <c r="E58" s="229">
        <v>1520.3727000000001</v>
      </c>
      <c r="F58" s="225" t="s">
        <v>223</v>
      </c>
      <c r="G58" s="227" t="s">
        <v>146</v>
      </c>
      <c r="H58" s="233">
        <v>516.26900000000001</v>
      </c>
      <c r="I58" s="229">
        <f>H58-E58</f>
        <v>-1004.1037000000001</v>
      </c>
      <c r="J58" s="231" t="s">
        <v>224</v>
      </c>
    </row>
    <row r="59" spans="2:10" ht="34.5" hidden="1" customHeight="1" x14ac:dyDescent="0.25">
      <c r="B59" s="227" t="s">
        <v>40</v>
      </c>
      <c r="C59" s="232" t="s">
        <v>159</v>
      </c>
      <c r="D59" s="536" t="s">
        <v>147</v>
      </c>
      <c r="E59" s="226">
        <v>1559.3550560280003</v>
      </c>
      <c r="F59" s="230"/>
      <c r="G59" s="356" t="s">
        <v>148</v>
      </c>
      <c r="H59" s="226"/>
      <c r="I59" s="226"/>
      <c r="J59" s="231"/>
    </row>
    <row r="60" spans="2:10" ht="15.75" hidden="1" customHeight="1" x14ac:dyDescent="0.25">
      <c r="B60" s="227"/>
      <c r="C60" s="373" t="s">
        <v>24</v>
      </c>
      <c r="D60" s="537"/>
      <c r="E60" s="346">
        <f>SUM(E59:E59)</f>
        <v>1559.3550560280003</v>
      </c>
      <c r="F60" s="230"/>
      <c r="G60" s="357"/>
      <c r="H60" s="346">
        <f>SUM(H59:H59)</f>
        <v>0</v>
      </c>
      <c r="I60" s="346">
        <f>SUM(I59:I59)</f>
        <v>0</v>
      </c>
      <c r="J60" s="231"/>
    </row>
    <row r="61" spans="2:10" ht="62.25" customHeight="1" x14ac:dyDescent="0.25">
      <c r="B61" s="227" t="s">
        <v>40</v>
      </c>
      <c r="C61" s="230" t="s">
        <v>250</v>
      </c>
      <c r="D61" s="537" t="s">
        <v>233</v>
      </c>
      <c r="E61" s="226">
        <v>791.12534433333337</v>
      </c>
      <c r="F61" s="370" t="s">
        <v>263</v>
      </c>
      <c r="G61" s="528" t="s">
        <v>148</v>
      </c>
      <c r="H61" s="229">
        <v>798.23</v>
      </c>
      <c r="I61" s="346"/>
      <c r="J61" s="231"/>
    </row>
    <row r="62" spans="2:10" ht="30.75" customHeight="1" x14ac:dyDescent="0.25">
      <c r="B62" s="227" t="s">
        <v>284</v>
      </c>
      <c r="C62" s="230" t="s">
        <v>251</v>
      </c>
      <c r="D62" s="537"/>
      <c r="E62" s="226">
        <v>534.97851993000006</v>
      </c>
      <c r="F62" s="230"/>
      <c r="G62" s="528"/>
      <c r="H62" s="229"/>
      <c r="I62" s="346"/>
      <c r="J62" s="231"/>
    </row>
    <row r="63" spans="2:10" ht="15.75" customHeight="1" x14ac:dyDescent="0.25">
      <c r="B63" s="227" t="s">
        <v>285</v>
      </c>
      <c r="C63" s="230" t="s">
        <v>252</v>
      </c>
      <c r="D63" s="537"/>
      <c r="E63" s="226">
        <v>248.77232488000001</v>
      </c>
      <c r="F63" s="230"/>
      <c r="G63" s="528"/>
      <c r="H63" s="229"/>
      <c r="I63" s="346"/>
      <c r="J63" s="231"/>
    </row>
    <row r="64" spans="2:10" ht="15" customHeight="1" x14ac:dyDescent="0.25">
      <c r="B64" s="227" t="s">
        <v>286</v>
      </c>
      <c r="C64" s="228" t="s">
        <v>159</v>
      </c>
      <c r="D64" s="538"/>
      <c r="E64" s="226">
        <v>24.46</v>
      </c>
      <c r="F64" s="354" t="s">
        <v>257</v>
      </c>
      <c r="G64" s="529"/>
      <c r="H64" s="229">
        <v>16.768999999999998</v>
      </c>
      <c r="I64" s="226"/>
      <c r="J64" s="231"/>
    </row>
    <row r="65" spans="2:10" ht="15" customHeight="1" x14ac:dyDescent="0.25">
      <c r="B65" s="227"/>
      <c r="C65" s="373" t="s">
        <v>24</v>
      </c>
      <c r="D65" s="378"/>
      <c r="E65" s="360">
        <f>SUM(E61:E64)</f>
        <v>1599.3361891433335</v>
      </c>
      <c r="F65" s="373" t="s">
        <v>24</v>
      </c>
      <c r="G65" s="334"/>
      <c r="H65" s="360">
        <f>SUM(H61:H64)</f>
        <v>814.99900000000002</v>
      </c>
      <c r="I65" s="360">
        <f>H65-E65</f>
        <v>-784.33718914333349</v>
      </c>
      <c r="J65" s="231"/>
    </row>
    <row r="66" spans="2:10" ht="15.75" hidden="1" customHeight="1" x14ac:dyDescent="0.25">
      <c r="B66" s="227" t="s">
        <v>165</v>
      </c>
      <c r="C66" s="228" t="s">
        <v>159</v>
      </c>
      <c r="D66" s="227" t="s">
        <v>149</v>
      </c>
      <c r="E66" s="231">
        <v>1654.6307136157966</v>
      </c>
      <c r="F66" s="379"/>
      <c r="G66" s="227"/>
      <c r="H66" s="231">
        <v>16.769089999999998</v>
      </c>
      <c r="I66" s="231"/>
      <c r="J66" s="231"/>
    </row>
    <row r="67" spans="2:10" ht="15.75" hidden="1" customHeight="1" x14ac:dyDescent="0.25">
      <c r="B67" s="227"/>
      <c r="C67" s="373" t="s">
        <v>24</v>
      </c>
      <c r="D67" s="227"/>
      <c r="E67" s="375"/>
      <c r="F67" s="228"/>
      <c r="G67" s="227"/>
      <c r="H67" s="375">
        <f>SUM(H61:H66)</f>
        <v>1646.7670900000001</v>
      </c>
      <c r="I67" s="375">
        <f>H67-E67</f>
        <v>1646.7670900000001</v>
      </c>
      <c r="J67" s="231"/>
    </row>
    <row r="68" spans="2:10" ht="15.75" customHeight="1" x14ac:dyDescent="0.25">
      <c r="B68" s="343" t="s">
        <v>42</v>
      </c>
      <c r="C68" s="530" t="s">
        <v>17</v>
      </c>
      <c r="D68" s="531"/>
      <c r="E68" s="531"/>
      <c r="F68" s="531"/>
      <c r="G68" s="531"/>
      <c r="H68" s="531"/>
      <c r="I68" s="531"/>
      <c r="J68" s="532"/>
    </row>
    <row r="69" spans="2:10" ht="31.5" hidden="1" x14ac:dyDescent="0.25">
      <c r="B69" s="344" t="s">
        <v>43</v>
      </c>
      <c r="C69" s="232" t="s">
        <v>166</v>
      </c>
      <c r="D69" s="527" t="s">
        <v>145</v>
      </c>
      <c r="E69" s="226">
        <v>1237.5999999999999</v>
      </c>
      <c r="F69" s="230"/>
      <c r="G69" s="527" t="s">
        <v>145</v>
      </c>
      <c r="H69" s="226"/>
      <c r="I69" s="350">
        <f>H69-E69</f>
        <v>-1237.5999999999999</v>
      </c>
      <c r="J69" s="533" t="s">
        <v>214</v>
      </c>
    </row>
    <row r="70" spans="2:10" ht="47.25" hidden="1" x14ac:dyDescent="0.25">
      <c r="B70" s="344" t="s">
        <v>73</v>
      </c>
      <c r="C70" s="232" t="s">
        <v>167</v>
      </c>
      <c r="D70" s="528"/>
      <c r="E70" s="226">
        <v>300</v>
      </c>
      <c r="F70" s="230"/>
      <c r="G70" s="528"/>
      <c r="H70" s="226"/>
      <c r="I70" s="350">
        <f>H70-E70</f>
        <v>-300</v>
      </c>
      <c r="J70" s="534"/>
    </row>
    <row r="71" spans="2:10" ht="31.5" hidden="1" x14ac:dyDescent="0.25">
      <c r="B71" s="344" t="s">
        <v>74</v>
      </c>
      <c r="C71" s="232" t="s">
        <v>168</v>
      </c>
      <c r="D71" s="528"/>
      <c r="E71" s="226">
        <v>322</v>
      </c>
      <c r="F71" s="230"/>
      <c r="G71" s="528"/>
      <c r="H71" s="226"/>
      <c r="I71" s="350">
        <f>H71-E71</f>
        <v>-322</v>
      </c>
      <c r="J71" s="534"/>
    </row>
    <row r="72" spans="2:10" ht="31.5" hidden="1" x14ac:dyDescent="0.25">
      <c r="B72" s="344" t="s">
        <v>169</v>
      </c>
      <c r="C72" s="232" t="s">
        <v>170</v>
      </c>
      <c r="D72" s="528"/>
      <c r="E72" s="226">
        <v>1529.8</v>
      </c>
      <c r="F72" s="230"/>
      <c r="G72" s="528"/>
      <c r="H72" s="226"/>
      <c r="I72" s="350">
        <f>H72-E72</f>
        <v>-1529.8</v>
      </c>
      <c r="J72" s="535"/>
    </row>
    <row r="73" spans="2:10" ht="126" hidden="1" x14ac:dyDescent="0.25">
      <c r="B73" s="344" t="s">
        <v>171</v>
      </c>
      <c r="C73" s="370" t="s">
        <v>192</v>
      </c>
      <c r="D73" s="528"/>
      <c r="E73" s="226">
        <v>907</v>
      </c>
      <c r="F73" s="370" t="s">
        <v>192</v>
      </c>
      <c r="G73" s="528"/>
      <c r="H73" s="226">
        <v>473.87799999999999</v>
      </c>
      <c r="I73" s="350">
        <f>H73-E73</f>
        <v>-433.12200000000001</v>
      </c>
      <c r="J73" s="345" t="s">
        <v>190</v>
      </c>
    </row>
    <row r="74" spans="2:10" hidden="1" x14ac:dyDescent="0.25">
      <c r="B74" s="227"/>
      <c r="C74" s="230"/>
      <c r="D74" s="528"/>
      <c r="E74" s="226"/>
      <c r="F74" s="230"/>
      <c r="G74" s="528"/>
      <c r="H74" s="226"/>
      <c r="I74" s="229"/>
      <c r="J74" s="231"/>
    </row>
    <row r="75" spans="2:10" hidden="1" x14ac:dyDescent="0.25">
      <c r="B75" s="227"/>
      <c r="C75" s="230"/>
      <c r="D75" s="528"/>
      <c r="E75" s="226"/>
      <c r="F75" s="230"/>
      <c r="G75" s="528"/>
      <c r="H75" s="226"/>
      <c r="I75" s="229"/>
      <c r="J75" s="231"/>
    </row>
    <row r="76" spans="2:10" s="138" customFormat="1" ht="15.75" hidden="1" customHeight="1" x14ac:dyDescent="0.25">
      <c r="B76" s="343"/>
      <c r="C76" s="372" t="s">
        <v>24</v>
      </c>
      <c r="D76" s="529"/>
      <c r="E76" s="346">
        <f>SUM(E69:E75)</f>
        <v>4296.3999999999996</v>
      </c>
      <c r="F76" s="373"/>
      <c r="G76" s="529"/>
      <c r="H76" s="346">
        <f>SUM(H69:H75)</f>
        <v>473.87799999999999</v>
      </c>
      <c r="I76" s="347">
        <f>H76-E76</f>
        <v>-3822.5219999999995</v>
      </c>
      <c r="J76" s="348"/>
    </row>
    <row r="77" spans="2:10" s="224" customFormat="1" ht="47.25" hidden="1" x14ac:dyDescent="0.25">
      <c r="B77" s="527" t="s">
        <v>43</v>
      </c>
      <c r="C77" s="559" t="s">
        <v>159</v>
      </c>
      <c r="D77" s="527" t="s">
        <v>146</v>
      </c>
      <c r="E77" s="542">
        <v>3456.1905543000007</v>
      </c>
      <c r="F77" s="228" t="s">
        <v>225</v>
      </c>
      <c r="G77" s="527" t="s">
        <v>146</v>
      </c>
      <c r="H77" s="226">
        <v>363.84</v>
      </c>
      <c r="I77" s="542">
        <f>H79-E77</f>
        <v>-3456.1905543000007</v>
      </c>
      <c r="J77" s="544" t="s">
        <v>226</v>
      </c>
    </row>
    <row r="78" spans="2:10" s="224" customFormat="1" ht="121.5" hidden="1" customHeight="1" x14ac:dyDescent="0.25">
      <c r="B78" s="529"/>
      <c r="C78" s="560"/>
      <c r="D78" s="529"/>
      <c r="E78" s="543"/>
      <c r="F78" s="228" t="s">
        <v>227</v>
      </c>
      <c r="G78" s="529"/>
      <c r="H78" s="226">
        <v>500.83</v>
      </c>
      <c r="I78" s="543"/>
      <c r="J78" s="545"/>
    </row>
    <row r="79" spans="2:10" ht="31.5" hidden="1" x14ac:dyDescent="0.25">
      <c r="B79" s="227" t="s">
        <v>43</v>
      </c>
      <c r="C79" s="228" t="s">
        <v>159</v>
      </c>
      <c r="D79" s="527" t="s">
        <v>147</v>
      </c>
      <c r="E79" s="226">
        <v>3544.807280112253</v>
      </c>
      <c r="F79" s="230"/>
      <c r="G79" s="527" t="s">
        <v>147</v>
      </c>
      <c r="H79" s="226"/>
      <c r="I79" s="226"/>
      <c r="J79" s="231"/>
    </row>
    <row r="80" spans="2:10" ht="15.75" hidden="1" customHeight="1" x14ac:dyDescent="0.25">
      <c r="B80" s="343"/>
      <c r="C80" s="372" t="s">
        <v>24</v>
      </c>
      <c r="D80" s="528"/>
      <c r="E80" s="346">
        <f>SUM(E79:E79)</f>
        <v>3544.807280112253</v>
      </c>
      <c r="F80" s="228"/>
      <c r="G80" s="528"/>
      <c r="H80" s="346">
        <f>SUM(H79:H79)</f>
        <v>0</v>
      </c>
      <c r="I80" s="346">
        <f>SUM(I79:I79)</f>
        <v>0</v>
      </c>
      <c r="J80" s="231"/>
    </row>
    <row r="81" spans="2:10" ht="45.75" customHeight="1" x14ac:dyDescent="0.25">
      <c r="B81" s="227" t="s">
        <v>43</v>
      </c>
      <c r="C81" s="228" t="s">
        <v>253</v>
      </c>
      <c r="D81" s="568" t="s">
        <v>233</v>
      </c>
      <c r="E81" s="301">
        <v>636.0543141666667</v>
      </c>
      <c r="F81" s="228" t="s">
        <v>264</v>
      </c>
      <c r="G81" s="568" t="s">
        <v>148</v>
      </c>
      <c r="H81" s="229">
        <v>927.98</v>
      </c>
      <c r="I81" s="231"/>
      <c r="J81" s="231"/>
    </row>
    <row r="82" spans="2:10" ht="51" customHeight="1" x14ac:dyDescent="0.25">
      <c r="B82" s="227" t="s">
        <v>73</v>
      </c>
      <c r="C82" s="228" t="s">
        <v>254</v>
      </c>
      <c r="D82" s="568"/>
      <c r="E82" s="301">
        <v>758.78217465500006</v>
      </c>
      <c r="F82" s="228" t="s">
        <v>265</v>
      </c>
      <c r="G82" s="568"/>
      <c r="H82" s="229">
        <v>1028.6099999999999</v>
      </c>
      <c r="I82" s="231"/>
      <c r="J82" s="231"/>
    </row>
    <row r="83" spans="2:10" ht="15.75" customHeight="1" x14ac:dyDescent="0.25">
      <c r="B83" s="227" t="s">
        <v>74</v>
      </c>
      <c r="C83" s="228" t="s">
        <v>159</v>
      </c>
      <c r="D83" s="568"/>
      <c r="E83" s="301">
        <v>2265.4299999999998</v>
      </c>
      <c r="F83" s="354" t="s">
        <v>257</v>
      </c>
      <c r="G83" s="568"/>
      <c r="H83" s="231">
        <v>160.33924999999999</v>
      </c>
      <c r="I83" s="231"/>
      <c r="J83" s="231"/>
    </row>
    <row r="84" spans="2:10" ht="15.75" customHeight="1" x14ac:dyDescent="0.25">
      <c r="B84" s="227"/>
      <c r="C84" s="373" t="s">
        <v>24</v>
      </c>
      <c r="D84" s="227"/>
      <c r="E84" s="360">
        <f>SUM(E81:E83)</f>
        <v>3660.2664888216668</v>
      </c>
      <c r="F84" s="373" t="s">
        <v>24</v>
      </c>
      <c r="G84" s="227"/>
      <c r="H84" s="360">
        <f>SUM(H81:H83)</f>
        <v>2116.9292500000001</v>
      </c>
      <c r="I84" s="360">
        <f>H84-E84</f>
        <v>-1543.3372388216667</v>
      </c>
      <c r="J84" s="231"/>
    </row>
    <row r="85" spans="2:10" ht="15.75" hidden="1" customHeight="1" x14ac:dyDescent="0.25">
      <c r="B85" s="227" t="s">
        <v>172</v>
      </c>
      <c r="C85" s="228" t="s">
        <v>159</v>
      </c>
      <c r="D85" s="227" t="s">
        <v>149</v>
      </c>
      <c r="E85" s="231"/>
      <c r="F85" s="354"/>
      <c r="G85" s="227"/>
      <c r="H85" s="231"/>
      <c r="I85" s="231"/>
      <c r="J85" s="231"/>
    </row>
    <row r="86" spans="2:10" ht="15.75" hidden="1" customHeight="1" x14ac:dyDescent="0.25">
      <c r="B86" s="227"/>
      <c r="C86" s="373" t="s">
        <v>24</v>
      </c>
      <c r="D86" s="227"/>
      <c r="E86" s="360">
        <f>SUM(E81:E85)</f>
        <v>7320.5329776433337</v>
      </c>
      <c r="F86" s="228"/>
      <c r="G86" s="227"/>
      <c r="H86" s="360">
        <f>SUM(H81:H85)</f>
        <v>4233.8585000000003</v>
      </c>
      <c r="I86" s="375">
        <f>H86-E86</f>
        <v>-3086.6744776433334</v>
      </c>
      <c r="J86" s="231"/>
    </row>
    <row r="87" spans="2:10" ht="15.75" customHeight="1" x14ac:dyDescent="0.25">
      <c r="B87" s="343" t="s">
        <v>44</v>
      </c>
      <c r="C87" s="581" t="s">
        <v>18</v>
      </c>
      <c r="D87" s="581"/>
      <c r="E87" s="581"/>
      <c r="F87" s="581"/>
      <c r="G87" s="581"/>
      <c r="H87" s="581"/>
      <c r="I87" s="581"/>
      <c r="J87" s="581"/>
    </row>
    <row r="88" spans="2:10" ht="46.5" hidden="1" customHeight="1" x14ac:dyDescent="0.25">
      <c r="B88" s="227" t="s">
        <v>45</v>
      </c>
      <c r="C88" s="228" t="s">
        <v>173</v>
      </c>
      <c r="D88" s="568" t="s">
        <v>145</v>
      </c>
      <c r="E88" s="231">
        <v>822</v>
      </c>
      <c r="F88" s="358" t="s">
        <v>207</v>
      </c>
      <c r="G88" s="568" t="s">
        <v>145</v>
      </c>
      <c r="H88" s="231">
        <v>389.49599999999998</v>
      </c>
      <c r="I88" s="231">
        <f>H88-E88</f>
        <v>-432.50400000000002</v>
      </c>
      <c r="J88" s="345" t="s">
        <v>190</v>
      </c>
    </row>
    <row r="89" spans="2:10" ht="16.5" hidden="1" customHeight="1" x14ac:dyDescent="0.25">
      <c r="B89" s="227"/>
      <c r="C89" s="228"/>
      <c r="D89" s="568"/>
      <c r="E89" s="231"/>
      <c r="F89" s="228"/>
      <c r="G89" s="568"/>
      <c r="H89" s="231"/>
      <c r="I89" s="231"/>
      <c r="J89" s="231"/>
    </row>
    <row r="90" spans="2:10" ht="15.75" hidden="1" customHeight="1" x14ac:dyDescent="0.25">
      <c r="B90" s="227"/>
      <c r="C90" s="228"/>
      <c r="D90" s="568"/>
      <c r="E90" s="231"/>
      <c r="F90" s="228"/>
      <c r="G90" s="568"/>
      <c r="H90" s="231"/>
      <c r="I90" s="231"/>
      <c r="J90" s="231"/>
    </row>
    <row r="91" spans="2:10" ht="15.75" hidden="1" customHeight="1" x14ac:dyDescent="0.25">
      <c r="B91" s="227"/>
      <c r="C91" s="228"/>
      <c r="D91" s="568"/>
      <c r="E91" s="231"/>
      <c r="F91" s="228"/>
      <c r="G91" s="568"/>
      <c r="H91" s="231"/>
      <c r="I91" s="231"/>
      <c r="J91" s="231"/>
    </row>
    <row r="92" spans="2:10" ht="15.75" hidden="1" customHeight="1" x14ac:dyDescent="0.25">
      <c r="B92" s="227"/>
      <c r="C92" s="228"/>
      <c r="D92" s="568"/>
      <c r="E92" s="231"/>
      <c r="F92" s="228"/>
      <c r="G92" s="568"/>
      <c r="H92" s="231"/>
      <c r="I92" s="231"/>
      <c r="J92" s="231"/>
    </row>
    <row r="93" spans="2:10" ht="15.75" hidden="1" customHeight="1" x14ac:dyDescent="0.25">
      <c r="B93" s="227"/>
      <c r="C93" s="228"/>
      <c r="D93" s="568"/>
      <c r="E93" s="231"/>
      <c r="F93" s="228"/>
      <c r="G93" s="568"/>
      <c r="H93" s="231"/>
      <c r="I93" s="231"/>
      <c r="J93" s="231"/>
    </row>
    <row r="94" spans="2:10" s="138" customFormat="1" ht="15.75" hidden="1" customHeight="1" x14ac:dyDescent="0.25">
      <c r="B94" s="343"/>
      <c r="C94" s="373" t="s">
        <v>24</v>
      </c>
      <c r="D94" s="568"/>
      <c r="E94" s="348">
        <f>SUM(E88:E93)</f>
        <v>822</v>
      </c>
      <c r="F94" s="373"/>
      <c r="G94" s="568"/>
      <c r="H94" s="348">
        <f>SUM(H88:H93)</f>
        <v>389.49599999999998</v>
      </c>
      <c r="I94" s="348">
        <f>H94-E94</f>
        <v>-432.50400000000002</v>
      </c>
      <c r="J94" s="348"/>
    </row>
    <row r="95" spans="2:10" s="224" customFormat="1" ht="69" hidden="1" customHeight="1" x14ac:dyDescent="0.25">
      <c r="B95" s="227" t="s">
        <v>45</v>
      </c>
      <c r="C95" s="228" t="s">
        <v>159</v>
      </c>
      <c r="D95" s="227" t="s">
        <v>146</v>
      </c>
      <c r="E95" s="231">
        <v>838.19340000000011</v>
      </c>
      <c r="F95" s="228" t="s">
        <v>228</v>
      </c>
      <c r="G95" s="227" t="s">
        <v>146</v>
      </c>
      <c r="H95" s="300">
        <v>715.95799999999997</v>
      </c>
      <c r="I95" s="301">
        <f>H95-E95</f>
        <v>-122.23540000000014</v>
      </c>
      <c r="J95" s="231" t="s">
        <v>224</v>
      </c>
    </row>
    <row r="96" spans="2:10" ht="31.5" hidden="1" customHeight="1" x14ac:dyDescent="0.25">
      <c r="B96" s="227" t="s">
        <v>45</v>
      </c>
      <c r="C96" s="228" t="s">
        <v>159</v>
      </c>
      <c r="D96" s="568" t="s">
        <v>147</v>
      </c>
      <c r="E96" s="231">
        <v>859.68467877600017</v>
      </c>
      <c r="F96" s="230"/>
      <c r="G96" s="568" t="s">
        <v>148</v>
      </c>
      <c r="H96" s="231"/>
      <c r="I96" s="231"/>
      <c r="J96" s="231"/>
    </row>
    <row r="97" spans="2:10" ht="15.75" hidden="1" customHeight="1" x14ac:dyDescent="0.25">
      <c r="B97" s="227"/>
      <c r="C97" s="354" t="s">
        <v>24</v>
      </c>
      <c r="D97" s="568"/>
      <c r="E97" s="348">
        <f>SUM(E96:E96)</f>
        <v>859.68467877600017</v>
      </c>
      <c r="F97" s="228"/>
      <c r="G97" s="568"/>
      <c r="H97" s="348">
        <f>SUM(H96:H96)</f>
        <v>0</v>
      </c>
      <c r="I97" s="348">
        <f>SUM(I96:I96)</f>
        <v>0</v>
      </c>
      <c r="J97" s="231"/>
    </row>
    <row r="98" spans="2:10" ht="44.25" customHeight="1" x14ac:dyDescent="0.25">
      <c r="B98" s="527" t="s">
        <v>45</v>
      </c>
      <c r="C98" s="559" t="s">
        <v>255</v>
      </c>
      <c r="D98" s="568" t="s">
        <v>233</v>
      </c>
      <c r="E98" s="542">
        <v>881.7</v>
      </c>
      <c r="F98" s="228" t="s">
        <v>266</v>
      </c>
      <c r="G98" s="568"/>
      <c r="H98" s="229">
        <v>472.27</v>
      </c>
      <c r="I98" s="231"/>
      <c r="J98" s="231"/>
    </row>
    <row r="99" spans="2:10" ht="48" customHeight="1" x14ac:dyDescent="0.25">
      <c r="B99" s="529"/>
      <c r="C99" s="560"/>
      <c r="D99" s="568"/>
      <c r="E99" s="543"/>
      <c r="F99" s="228" t="s">
        <v>267</v>
      </c>
      <c r="G99" s="568"/>
      <c r="H99" s="229">
        <v>1064.4100000000001</v>
      </c>
      <c r="I99" s="231"/>
      <c r="J99" s="231"/>
    </row>
    <row r="100" spans="2:10" x14ac:dyDescent="0.25">
      <c r="B100" s="227"/>
      <c r="C100" s="228"/>
      <c r="D100" s="227"/>
      <c r="E100" s="301"/>
      <c r="F100" s="354" t="s">
        <v>257</v>
      </c>
      <c r="G100" s="227"/>
      <c r="H100" s="231">
        <v>24.978400000000001</v>
      </c>
      <c r="I100" s="231"/>
      <c r="J100" s="231"/>
    </row>
    <row r="101" spans="2:10" x14ac:dyDescent="0.25">
      <c r="B101" s="227"/>
      <c r="C101" s="373" t="s">
        <v>24</v>
      </c>
      <c r="D101" s="227"/>
      <c r="E101" s="360">
        <f>E98+E99</f>
        <v>881.7</v>
      </c>
      <c r="F101" s="373" t="s">
        <v>24</v>
      </c>
      <c r="G101" s="227"/>
      <c r="H101" s="360">
        <f>H98+H99+H100</f>
        <v>1561.6584</v>
      </c>
      <c r="I101" s="375">
        <f>H101-E101</f>
        <v>679.95839999999998</v>
      </c>
      <c r="J101" s="231"/>
    </row>
    <row r="102" spans="2:10" ht="15.75" hidden="1" customHeight="1" x14ac:dyDescent="0.25">
      <c r="B102" s="227" t="s">
        <v>174</v>
      </c>
      <c r="C102" s="228" t="s">
        <v>159</v>
      </c>
      <c r="D102" s="227" t="s">
        <v>149</v>
      </c>
      <c r="E102" s="231">
        <v>912.21089644009692</v>
      </c>
      <c r="F102" s="354"/>
      <c r="G102" s="227"/>
      <c r="H102" s="231"/>
      <c r="I102" s="231"/>
      <c r="J102" s="231"/>
    </row>
    <row r="103" spans="2:10" ht="15.75" hidden="1" customHeight="1" x14ac:dyDescent="0.25">
      <c r="B103" s="227"/>
      <c r="C103" s="373" t="s">
        <v>24</v>
      </c>
      <c r="D103" s="227"/>
      <c r="E103" s="360">
        <f>SUM(E98:E102)</f>
        <v>2675.6108964400969</v>
      </c>
      <c r="F103" s="228"/>
      <c r="G103" s="227"/>
      <c r="H103" s="360">
        <f>SUM(H98:H102)</f>
        <v>3123.3168000000001</v>
      </c>
      <c r="I103" s="375">
        <f>H103-E103</f>
        <v>447.70590355990316</v>
      </c>
      <c r="J103" s="231"/>
    </row>
    <row r="104" spans="2:10" ht="15.75" customHeight="1" x14ac:dyDescent="0.25">
      <c r="B104" s="343" t="s">
        <v>46</v>
      </c>
      <c r="C104" s="530" t="s">
        <v>19</v>
      </c>
      <c r="D104" s="531"/>
      <c r="E104" s="531"/>
      <c r="F104" s="531"/>
      <c r="G104" s="531"/>
      <c r="H104" s="531"/>
      <c r="I104" s="531"/>
      <c r="J104" s="532"/>
    </row>
    <row r="105" spans="2:10" ht="31.5" hidden="1" customHeight="1" x14ac:dyDescent="0.25">
      <c r="B105" s="344" t="s">
        <v>47</v>
      </c>
      <c r="C105" s="232" t="s">
        <v>175</v>
      </c>
      <c r="D105" s="527" t="s">
        <v>145</v>
      </c>
      <c r="E105" s="359">
        <v>752</v>
      </c>
      <c r="F105" s="230"/>
      <c r="G105" s="527" t="s">
        <v>145</v>
      </c>
      <c r="H105" s="359"/>
      <c r="I105" s="350">
        <f>H105-E105</f>
        <v>-752</v>
      </c>
      <c r="J105" s="345" t="s">
        <v>213</v>
      </c>
    </row>
    <row r="106" spans="2:10" ht="59.25" hidden="1" customHeight="1" x14ac:dyDescent="0.25">
      <c r="B106" s="344" t="s">
        <v>75</v>
      </c>
      <c r="C106" s="232" t="s">
        <v>193</v>
      </c>
      <c r="D106" s="528"/>
      <c r="E106" s="359">
        <v>1354</v>
      </c>
      <c r="F106" s="225" t="s">
        <v>193</v>
      </c>
      <c r="G106" s="528"/>
      <c r="H106" s="359">
        <v>513.58299999999997</v>
      </c>
      <c r="I106" s="350">
        <f>H106-E106</f>
        <v>-840.41700000000003</v>
      </c>
      <c r="J106" s="345" t="s">
        <v>190</v>
      </c>
    </row>
    <row r="107" spans="2:10" ht="14.25" hidden="1" customHeight="1" x14ac:dyDescent="0.25">
      <c r="B107" s="227"/>
      <c r="C107" s="370"/>
      <c r="D107" s="528"/>
      <c r="E107" s="359"/>
      <c r="F107" s="230"/>
      <c r="G107" s="528"/>
      <c r="H107" s="359"/>
      <c r="I107" s="234"/>
      <c r="J107" s="337"/>
    </row>
    <row r="108" spans="2:10" ht="16.5" hidden="1" customHeight="1" x14ac:dyDescent="0.25">
      <c r="B108" s="227"/>
      <c r="C108" s="230"/>
      <c r="D108" s="528"/>
      <c r="E108" s="359"/>
      <c r="F108" s="230"/>
      <c r="G108" s="528"/>
      <c r="H108" s="359"/>
      <c r="I108" s="234"/>
      <c r="J108" s="337"/>
    </row>
    <row r="109" spans="2:10" ht="14.25" hidden="1" customHeight="1" x14ac:dyDescent="0.25">
      <c r="B109" s="227"/>
      <c r="C109" s="230"/>
      <c r="D109" s="528"/>
      <c r="E109" s="359"/>
      <c r="F109" s="230"/>
      <c r="G109" s="528"/>
      <c r="H109" s="359"/>
      <c r="I109" s="301"/>
      <c r="J109" s="337"/>
    </row>
    <row r="110" spans="2:10" s="138" customFormat="1" ht="15.75" hidden="1" customHeight="1" x14ac:dyDescent="0.25">
      <c r="B110" s="343"/>
      <c r="C110" s="372" t="s">
        <v>24</v>
      </c>
      <c r="D110" s="529"/>
      <c r="E110" s="346">
        <f>SUM(E105:E109)</f>
        <v>2106</v>
      </c>
      <c r="F110" s="373"/>
      <c r="G110" s="529"/>
      <c r="H110" s="346">
        <f>SUM(H105:H109)</f>
        <v>513.58299999999997</v>
      </c>
      <c r="I110" s="347">
        <f>H110-E110</f>
        <v>-1592.4169999999999</v>
      </c>
      <c r="J110" s="348"/>
    </row>
    <row r="111" spans="2:10" s="224" customFormat="1" ht="47.25" hidden="1" x14ac:dyDescent="0.25">
      <c r="B111" s="527" t="s">
        <v>47</v>
      </c>
      <c r="C111" s="573" t="s">
        <v>159</v>
      </c>
      <c r="D111" s="527" t="s">
        <v>146</v>
      </c>
      <c r="E111" s="544">
        <v>766.81440000000021</v>
      </c>
      <c r="F111" s="228" t="s">
        <v>229</v>
      </c>
      <c r="G111" s="527" t="s">
        <v>146</v>
      </c>
      <c r="H111" s="234">
        <v>845.35</v>
      </c>
      <c r="I111" s="542">
        <f>H115-E115</f>
        <v>-786.47552121600029</v>
      </c>
      <c r="J111" s="337"/>
    </row>
    <row r="112" spans="2:10" s="224" customFormat="1" ht="31.5" hidden="1" x14ac:dyDescent="0.25">
      <c r="B112" s="528"/>
      <c r="C112" s="574"/>
      <c r="D112" s="528"/>
      <c r="E112" s="546"/>
      <c r="F112" s="228" t="s">
        <v>230</v>
      </c>
      <c r="G112" s="528"/>
      <c r="H112" s="234">
        <v>219.87</v>
      </c>
      <c r="I112" s="580"/>
      <c r="J112" s="337"/>
    </row>
    <row r="113" spans="2:10" s="224" customFormat="1" ht="47.25" hidden="1" x14ac:dyDescent="0.25">
      <c r="B113" s="528"/>
      <c r="C113" s="574"/>
      <c r="D113" s="528"/>
      <c r="E113" s="546"/>
      <c r="F113" s="228" t="s">
        <v>231</v>
      </c>
      <c r="G113" s="528"/>
      <c r="H113" s="234">
        <v>119.73</v>
      </c>
      <c r="I113" s="580"/>
      <c r="J113" s="337"/>
    </row>
    <row r="114" spans="2:10" s="224" customFormat="1" ht="47.25" hidden="1" x14ac:dyDescent="0.25">
      <c r="B114" s="529"/>
      <c r="C114" s="575"/>
      <c r="D114" s="529"/>
      <c r="E114" s="545"/>
      <c r="F114" s="228" t="s">
        <v>232</v>
      </c>
      <c r="G114" s="529"/>
      <c r="H114" s="229">
        <v>181.05</v>
      </c>
      <c r="I114" s="543"/>
      <c r="J114" s="231"/>
    </row>
    <row r="115" spans="2:10" ht="31.5" hidden="1" x14ac:dyDescent="0.25">
      <c r="B115" s="227" t="s">
        <v>47</v>
      </c>
      <c r="C115" s="232" t="s">
        <v>159</v>
      </c>
      <c r="D115" s="527" t="s">
        <v>147</v>
      </c>
      <c r="E115" s="359">
        <v>786.47552121600029</v>
      </c>
      <c r="F115" s="230"/>
      <c r="G115" s="227" t="s">
        <v>147</v>
      </c>
      <c r="H115" s="359"/>
      <c r="I115" s="359"/>
      <c r="J115" s="337"/>
    </row>
    <row r="116" spans="2:10" ht="16.5" hidden="1" customHeight="1" x14ac:dyDescent="0.25">
      <c r="B116" s="227"/>
      <c r="C116" s="372" t="s">
        <v>24</v>
      </c>
      <c r="D116" s="528"/>
      <c r="E116" s="348">
        <f>SUM(E115:E115)</f>
        <v>786.47552121600029</v>
      </c>
      <c r="F116" s="230"/>
      <c r="G116" s="228"/>
      <c r="H116" s="346">
        <f>SUM(H115:H115)</f>
        <v>0</v>
      </c>
      <c r="I116" s="346">
        <f>SUM(I115:I115)</f>
        <v>0</v>
      </c>
      <c r="J116" s="231"/>
    </row>
    <row r="117" spans="2:10" ht="51" customHeight="1" x14ac:dyDescent="0.25">
      <c r="B117" s="527" t="s">
        <v>47</v>
      </c>
      <c r="C117" s="559" t="s">
        <v>159</v>
      </c>
      <c r="D117" s="527" t="s">
        <v>233</v>
      </c>
      <c r="E117" s="542">
        <v>812.09</v>
      </c>
      <c r="F117" s="228" t="s">
        <v>268</v>
      </c>
      <c r="G117" s="527" t="s">
        <v>148</v>
      </c>
      <c r="H117" s="229">
        <v>1000.72</v>
      </c>
      <c r="I117" s="231"/>
      <c r="J117" s="231"/>
    </row>
    <row r="118" spans="2:10" ht="51" customHeight="1" x14ac:dyDescent="0.25">
      <c r="B118" s="528"/>
      <c r="C118" s="582"/>
      <c r="D118" s="528"/>
      <c r="E118" s="580"/>
      <c r="F118" s="228" t="s">
        <v>269</v>
      </c>
      <c r="G118" s="528"/>
      <c r="H118" s="229">
        <v>154.11000000000001</v>
      </c>
      <c r="I118" s="226"/>
      <c r="J118" s="231"/>
    </row>
    <row r="119" spans="2:10" s="302" customFormat="1" x14ac:dyDescent="0.25">
      <c r="B119" s="529"/>
      <c r="C119" s="560"/>
      <c r="D119" s="529"/>
      <c r="E119" s="543"/>
      <c r="F119" s="354" t="s">
        <v>257</v>
      </c>
      <c r="G119" s="529"/>
      <c r="H119" s="231">
        <v>66.719399999999993</v>
      </c>
      <c r="I119" s="226"/>
      <c r="J119" s="231"/>
    </row>
    <row r="120" spans="2:10" x14ac:dyDescent="0.25">
      <c r="B120" s="227"/>
      <c r="C120" s="373" t="s">
        <v>24</v>
      </c>
      <c r="D120" s="227"/>
      <c r="E120" s="360">
        <f>E117</f>
        <v>812.09</v>
      </c>
      <c r="F120" s="373" t="s">
        <v>24</v>
      </c>
      <c r="G120" s="227"/>
      <c r="H120" s="360">
        <f>SUM(H117:H119)</f>
        <v>1221.5493999999999</v>
      </c>
      <c r="I120" s="375">
        <f>H120-E120</f>
        <v>409.45939999999985</v>
      </c>
      <c r="J120" s="231"/>
    </row>
    <row r="121" spans="2:10" ht="15.75" hidden="1" customHeight="1" x14ac:dyDescent="0.25">
      <c r="B121" s="227" t="s">
        <v>176</v>
      </c>
      <c r="C121" s="228" t="s">
        <v>159</v>
      </c>
      <c r="D121" s="227" t="s">
        <v>149</v>
      </c>
      <c r="E121" s="231"/>
      <c r="F121" s="228"/>
      <c r="G121" s="227" t="s">
        <v>149</v>
      </c>
      <c r="H121" s="231"/>
      <c r="I121" s="231"/>
      <c r="J121" s="231"/>
    </row>
    <row r="122" spans="2:10" hidden="1" x14ac:dyDescent="0.25">
      <c r="B122" s="576" t="s">
        <v>24</v>
      </c>
      <c r="C122" s="577"/>
      <c r="D122" s="578"/>
      <c r="E122" s="351"/>
      <c r="F122" s="380"/>
      <c r="G122" s="380"/>
      <c r="H122" s="380"/>
      <c r="I122" s="380"/>
      <c r="J122" s="380"/>
    </row>
    <row r="123" spans="2:10" ht="15" customHeight="1" x14ac:dyDescent="0.25">
      <c r="B123" s="361"/>
      <c r="C123" s="362"/>
      <c r="D123" s="363"/>
      <c r="E123" s="364"/>
      <c r="F123" s="381"/>
      <c r="G123" s="381"/>
      <c r="H123" s="364"/>
      <c r="I123" s="364"/>
      <c r="J123" s="382"/>
    </row>
    <row r="124" spans="2:10" ht="16.5" customHeight="1" x14ac:dyDescent="0.25">
      <c r="B124" s="579" t="s">
        <v>177</v>
      </c>
      <c r="C124" s="579"/>
      <c r="D124" s="579"/>
      <c r="E124" s="579"/>
      <c r="F124" s="381"/>
      <c r="G124" s="381"/>
      <c r="H124" s="381"/>
      <c r="I124" s="381"/>
      <c r="J124" s="382"/>
    </row>
    <row r="125" spans="2:10" ht="16.5" customHeight="1" x14ac:dyDescent="0.25">
      <c r="B125" s="527" t="s">
        <v>21</v>
      </c>
      <c r="C125" s="564" t="s">
        <v>181</v>
      </c>
      <c r="D125" s="565"/>
      <c r="E125" s="565"/>
      <c r="F125" s="564" t="s">
        <v>137</v>
      </c>
      <c r="G125" s="565"/>
      <c r="H125" s="572"/>
      <c r="I125" s="568" t="s">
        <v>182</v>
      </c>
      <c r="J125" s="561" t="s">
        <v>183</v>
      </c>
    </row>
    <row r="126" spans="2:10" ht="87.75" customHeight="1" x14ac:dyDescent="0.25">
      <c r="B126" s="529"/>
      <c r="C126" s="365" t="s">
        <v>22</v>
      </c>
      <c r="D126" s="227" t="s">
        <v>1</v>
      </c>
      <c r="E126" s="227" t="s">
        <v>23</v>
      </c>
      <c r="F126" s="227" t="s">
        <v>22</v>
      </c>
      <c r="G126" s="227" t="s">
        <v>1</v>
      </c>
      <c r="H126" s="227" t="s">
        <v>23</v>
      </c>
      <c r="I126" s="568"/>
      <c r="J126" s="562"/>
    </row>
    <row r="127" spans="2:10" x14ac:dyDescent="0.25">
      <c r="B127" s="227">
        <v>1</v>
      </c>
      <c r="C127" s="227">
        <v>2</v>
      </c>
      <c r="D127" s="227">
        <v>3</v>
      </c>
      <c r="E127" s="366">
        <v>4</v>
      </c>
      <c r="F127" s="227">
        <v>5</v>
      </c>
      <c r="G127" s="227">
        <v>6</v>
      </c>
      <c r="H127" s="227">
        <v>7</v>
      </c>
      <c r="I127" s="227">
        <v>8</v>
      </c>
      <c r="J127" s="227">
        <v>9</v>
      </c>
    </row>
    <row r="128" spans="2:10" x14ac:dyDescent="0.25">
      <c r="B128" s="367" t="s">
        <v>6</v>
      </c>
      <c r="C128" s="368"/>
      <c r="D128" s="367"/>
      <c r="E128" s="366"/>
      <c r="F128" s="383"/>
      <c r="G128" s="383"/>
      <c r="H128" s="383"/>
      <c r="I128" s="383"/>
      <c r="J128" s="383"/>
    </row>
    <row r="129" spans="2:10" x14ac:dyDescent="0.25">
      <c r="B129" s="570" t="s">
        <v>24</v>
      </c>
      <c r="C129" s="571"/>
      <c r="D129" s="571"/>
      <c r="E129" s="571"/>
      <c r="F129" s="383"/>
      <c r="G129" s="383"/>
      <c r="H129" s="383"/>
      <c r="I129" s="383"/>
      <c r="J129" s="383"/>
    </row>
    <row r="130" spans="2:10" ht="33.75" customHeight="1" x14ac:dyDescent="0.25">
      <c r="B130" s="563" t="s">
        <v>48</v>
      </c>
      <c r="C130" s="563"/>
      <c r="D130" s="563"/>
      <c r="E130" s="563"/>
      <c r="F130" s="381"/>
      <c r="G130" s="381"/>
      <c r="H130" s="381"/>
      <c r="I130" s="381"/>
      <c r="J130" s="382"/>
    </row>
    <row r="131" spans="2:10" x14ac:dyDescent="0.25">
      <c r="B131" s="369"/>
      <c r="C131" s="369"/>
      <c r="D131" s="369"/>
      <c r="E131" s="369"/>
      <c r="F131" s="381"/>
      <c r="G131" s="381"/>
      <c r="H131" s="381"/>
      <c r="I131" s="381"/>
      <c r="J131" s="382"/>
    </row>
    <row r="132" spans="2:10" ht="22.5" customHeight="1" x14ac:dyDescent="0.25">
      <c r="B132" s="566" t="s">
        <v>178</v>
      </c>
      <c r="C132" s="566"/>
      <c r="D132" s="566"/>
      <c r="E132" s="566"/>
      <c r="F132" s="566"/>
      <c r="G132" s="566"/>
      <c r="H132" s="566"/>
      <c r="I132" s="566"/>
      <c r="J132" s="567"/>
    </row>
    <row r="133" spans="2:10" ht="18.75" customHeight="1" x14ac:dyDescent="0.25">
      <c r="B133" s="527" t="s">
        <v>21</v>
      </c>
      <c r="C133" s="564" t="s">
        <v>181</v>
      </c>
      <c r="D133" s="565"/>
      <c r="E133" s="565"/>
      <c r="F133" s="564" t="s">
        <v>137</v>
      </c>
      <c r="G133" s="565"/>
      <c r="H133" s="572"/>
      <c r="I133" s="568" t="s">
        <v>182</v>
      </c>
      <c r="J133" s="561" t="s">
        <v>183</v>
      </c>
    </row>
    <row r="134" spans="2:10" ht="85.5" customHeight="1" x14ac:dyDescent="0.25">
      <c r="B134" s="529"/>
      <c r="C134" s="365" t="s">
        <v>22</v>
      </c>
      <c r="D134" s="227" t="s">
        <v>1</v>
      </c>
      <c r="E134" s="227" t="s">
        <v>23</v>
      </c>
      <c r="F134" s="227" t="s">
        <v>22</v>
      </c>
      <c r="G134" s="227" t="s">
        <v>1</v>
      </c>
      <c r="H134" s="227" t="s">
        <v>23</v>
      </c>
      <c r="I134" s="568"/>
      <c r="J134" s="562"/>
    </row>
    <row r="135" spans="2:10" x14ac:dyDescent="0.25">
      <c r="B135" s="227">
        <v>1</v>
      </c>
      <c r="C135" s="227">
        <v>2</v>
      </c>
      <c r="D135" s="227">
        <v>3</v>
      </c>
      <c r="E135" s="366">
        <v>4</v>
      </c>
      <c r="F135" s="227">
        <v>5</v>
      </c>
      <c r="G135" s="227">
        <v>6</v>
      </c>
      <c r="H135" s="227">
        <v>7</v>
      </c>
      <c r="I135" s="227">
        <v>8</v>
      </c>
      <c r="J135" s="227">
        <v>9</v>
      </c>
    </row>
    <row r="136" spans="2:10" x14ac:dyDescent="0.25">
      <c r="B136" s="367" t="s">
        <v>6</v>
      </c>
      <c r="C136" s="368"/>
      <c r="D136" s="367"/>
      <c r="E136" s="366"/>
      <c r="F136" s="383"/>
      <c r="G136" s="383"/>
      <c r="H136" s="383"/>
      <c r="I136" s="383"/>
      <c r="J136" s="383"/>
    </row>
    <row r="137" spans="2:10" x14ac:dyDescent="0.25">
      <c r="B137" s="570" t="s">
        <v>24</v>
      </c>
      <c r="C137" s="571"/>
      <c r="D137" s="571"/>
      <c r="E137" s="571"/>
      <c r="F137" s="383"/>
      <c r="G137" s="383"/>
      <c r="H137" s="383"/>
      <c r="I137" s="383"/>
      <c r="J137" s="383"/>
    </row>
    <row r="138" spans="2:10" ht="34.5" customHeight="1" x14ac:dyDescent="0.25">
      <c r="B138" s="569" t="s">
        <v>50</v>
      </c>
      <c r="C138" s="569"/>
      <c r="D138" s="569"/>
      <c r="E138" s="569"/>
    </row>
    <row r="139" spans="2:10" ht="15" customHeight="1" x14ac:dyDescent="0.25">
      <c r="B139" s="125"/>
      <c r="C139" s="126"/>
      <c r="D139" s="127"/>
      <c r="E139" s="127"/>
    </row>
  </sheetData>
  <mergeCells count="92">
    <mergeCell ref="B117:B119"/>
    <mergeCell ref="C117:C119"/>
    <mergeCell ref="D117:D119"/>
    <mergeCell ref="E117:E119"/>
    <mergeCell ref="E98:E99"/>
    <mergeCell ref="C98:C99"/>
    <mergeCell ref="B98:B99"/>
    <mergeCell ref="B77:B78"/>
    <mergeCell ref="C77:C78"/>
    <mergeCell ref="D77:D78"/>
    <mergeCell ref="E77:E78"/>
    <mergeCell ref="C104:J104"/>
    <mergeCell ref="I77:I78"/>
    <mergeCell ref="J77:J78"/>
    <mergeCell ref="G77:G78"/>
    <mergeCell ref="J125:J126"/>
    <mergeCell ref="D79:D80"/>
    <mergeCell ref="D81:D83"/>
    <mergeCell ref="D96:D97"/>
    <mergeCell ref="I125:I126"/>
    <mergeCell ref="I111:I114"/>
    <mergeCell ref="D115:D116"/>
    <mergeCell ref="G79:G80"/>
    <mergeCell ref="G81:G83"/>
    <mergeCell ref="D98:D99"/>
    <mergeCell ref="G96:G99"/>
    <mergeCell ref="G88:G94"/>
    <mergeCell ref="D88:D94"/>
    <mergeCell ref="C87:J87"/>
    <mergeCell ref="G117:G119"/>
    <mergeCell ref="B138:E138"/>
    <mergeCell ref="B137:E137"/>
    <mergeCell ref="F133:H133"/>
    <mergeCell ref="G105:G110"/>
    <mergeCell ref="D105:D110"/>
    <mergeCell ref="B129:E129"/>
    <mergeCell ref="C125:E125"/>
    <mergeCell ref="B111:B114"/>
    <mergeCell ref="C111:C114"/>
    <mergeCell ref="D111:D114"/>
    <mergeCell ref="F125:H125"/>
    <mergeCell ref="B122:D122"/>
    <mergeCell ref="B125:B126"/>
    <mergeCell ref="B124:E124"/>
    <mergeCell ref="E111:E114"/>
    <mergeCell ref="G111:G114"/>
    <mergeCell ref="J133:J134"/>
    <mergeCell ref="B130:E130"/>
    <mergeCell ref="B133:B134"/>
    <mergeCell ref="C133:E133"/>
    <mergeCell ref="B132:J132"/>
    <mergeCell ref="I133:I134"/>
    <mergeCell ref="B19:B20"/>
    <mergeCell ref="C19:C20"/>
    <mergeCell ref="D19:D20"/>
    <mergeCell ref="E19:E20"/>
    <mergeCell ref="G19:G20"/>
    <mergeCell ref="B1:J1"/>
    <mergeCell ref="B2:J2"/>
    <mergeCell ref="B3:B4"/>
    <mergeCell ref="C3:E3"/>
    <mergeCell ref="F3:H3"/>
    <mergeCell ref="I3:I4"/>
    <mergeCell ref="J3:J4"/>
    <mergeCell ref="C6:J6"/>
    <mergeCell ref="G33:G34"/>
    <mergeCell ref="D33:D34"/>
    <mergeCell ref="C32:J32"/>
    <mergeCell ref="D21:D24"/>
    <mergeCell ref="G7:G18"/>
    <mergeCell ref="D7:D18"/>
    <mergeCell ref="G21:G24"/>
    <mergeCell ref="I19:I20"/>
    <mergeCell ref="J19:J20"/>
    <mergeCell ref="E21:E24"/>
    <mergeCell ref="D26:D29"/>
    <mergeCell ref="G26:G29"/>
    <mergeCell ref="D40:D43"/>
    <mergeCell ref="C50:J50"/>
    <mergeCell ref="E40:E43"/>
    <mergeCell ref="G40:G43"/>
    <mergeCell ref="G51:G57"/>
    <mergeCell ref="D51:D57"/>
    <mergeCell ref="D69:D76"/>
    <mergeCell ref="G69:G76"/>
    <mergeCell ref="C68:J68"/>
    <mergeCell ref="J69:J72"/>
    <mergeCell ref="D45:D48"/>
    <mergeCell ref="G45:G48"/>
    <mergeCell ref="D59:D60"/>
    <mergeCell ref="D61:D64"/>
    <mergeCell ref="G61:G64"/>
  </mergeCells>
  <phoneticPr fontId="3" type="noConversion"/>
  <printOptions horizontalCentered="1"/>
  <pageMargins left="0.43307086614173229" right="0.43307086614173229" top="0.94488188976377963" bottom="0.39370078740157483" header="0" footer="0"/>
  <pageSetup paperSize="9" scale="32" fitToHeight="3" orientation="landscape" r:id="rId1"/>
  <headerFooter alignWithMargins="0"/>
  <rowBreaks count="1" manualBreakCount="1">
    <brk id="78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Q12"/>
  <sheetViews>
    <sheetView topLeftCell="B1" workbookViewId="0">
      <selection activeCell="H18" sqref="H18:H19"/>
    </sheetView>
  </sheetViews>
  <sheetFormatPr defaultRowHeight="15.75" x14ac:dyDescent="0.25"/>
  <cols>
    <col min="1" max="1" width="3.7109375" style="124" hidden="1" customWidth="1"/>
    <col min="2" max="2" width="6" style="124" customWidth="1"/>
    <col min="3" max="3" width="22.140625" style="124" customWidth="1"/>
    <col min="4" max="4" width="15.28515625" style="124" customWidth="1"/>
    <col min="5" max="5" width="14.42578125" style="124" hidden="1" customWidth="1"/>
    <col min="6" max="6" width="15" style="124" hidden="1" customWidth="1"/>
    <col min="7" max="7" width="12" style="124" hidden="1" customWidth="1"/>
    <col min="8" max="8" width="12" style="124" customWidth="1"/>
    <col min="9" max="9" width="12" style="124" hidden="1" customWidth="1"/>
    <col min="10" max="10" width="21.5703125" style="124" customWidth="1"/>
    <col min="11" max="11" width="13.28515625" style="124" customWidth="1"/>
    <col min="12" max="12" width="11.42578125" style="124" hidden="1" customWidth="1"/>
    <col min="13" max="13" width="12" style="124" hidden="1" customWidth="1"/>
    <col min="14" max="14" width="9.140625" style="124" hidden="1" customWidth="1"/>
    <col min="15" max="15" width="13" style="124" customWidth="1"/>
    <col min="16" max="16" width="9.140625" style="124" hidden="1" customWidth="1"/>
    <col min="17" max="16384" width="9.140625" style="124"/>
  </cols>
  <sheetData>
    <row r="1" spans="2:17" ht="33.75" customHeight="1" x14ac:dyDescent="0.25">
      <c r="B1" s="589" t="s">
        <v>179</v>
      </c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</row>
    <row r="2" spans="2:17" ht="15" customHeight="1" x14ac:dyDescent="0.25">
      <c r="B2" s="549" t="s">
        <v>180</v>
      </c>
      <c r="C2" s="585" t="s">
        <v>181</v>
      </c>
      <c r="D2" s="585"/>
      <c r="E2" s="585"/>
      <c r="F2" s="585"/>
      <c r="G2" s="585"/>
      <c r="H2" s="585"/>
      <c r="I2" s="585"/>
      <c r="J2" s="588" t="s">
        <v>137</v>
      </c>
      <c r="K2" s="585"/>
      <c r="L2" s="585"/>
      <c r="M2" s="585"/>
      <c r="N2" s="139"/>
      <c r="O2" s="139"/>
      <c r="P2" s="140"/>
      <c r="Q2" s="141"/>
    </row>
    <row r="3" spans="2:17" ht="39" customHeight="1" x14ac:dyDescent="0.25">
      <c r="B3" s="590"/>
      <c r="C3" s="591" t="s">
        <v>2</v>
      </c>
      <c r="D3" s="549" t="s">
        <v>26</v>
      </c>
      <c r="E3" s="593" t="s">
        <v>27</v>
      </c>
      <c r="F3" s="594"/>
      <c r="G3" s="594"/>
      <c r="H3" s="594"/>
      <c r="I3" s="595"/>
      <c r="J3" s="583" t="s">
        <v>2</v>
      </c>
      <c r="K3" s="583" t="s">
        <v>26</v>
      </c>
      <c r="L3" s="586" t="s">
        <v>27</v>
      </c>
      <c r="M3" s="587"/>
      <c r="N3" s="184"/>
      <c r="O3" s="339" t="s">
        <v>27</v>
      </c>
      <c r="P3" s="185"/>
      <c r="Q3" s="141"/>
    </row>
    <row r="4" spans="2:17" ht="21" customHeight="1" x14ac:dyDescent="0.25">
      <c r="B4" s="550"/>
      <c r="C4" s="592"/>
      <c r="D4" s="550"/>
      <c r="E4" s="16" t="s">
        <v>145</v>
      </c>
      <c r="F4" s="16" t="s">
        <v>146</v>
      </c>
      <c r="G4" s="16" t="s">
        <v>147</v>
      </c>
      <c r="H4" s="16" t="s">
        <v>148</v>
      </c>
      <c r="I4" s="16" t="s">
        <v>149</v>
      </c>
      <c r="J4" s="584"/>
      <c r="K4" s="584"/>
      <c r="L4" s="181" t="s">
        <v>145</v>
      </c>
      <c r="M4" s="129" t="str">
        <f>F4</f>
        <v>2020 год</v>
      </c>
      <c r="N4" s="129" t="s">
        <v>147</v>
      </c>
      <c r="O4" s="335" t="s">
        <v>148</v>
      </c>
      <c r="P4" s="129" t="s">
        <v>149</v>
      </c>
      <c r="Q4" s="141"/>
    </row>
    <row r="5" spans="2:17" x14ac:dyDescent="0.25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4</v>
      </c>
      <c r="I5" s="16">
        <v>8</v>
      </c>
      <c r="J5" s="128">
        <v>5</v>
      </c>
      <c r="K5" s="128">
        <v>6</v>
      </c>
      <c r="L5" s="128">
        <v>7</v>
      </c>
      <c r="M5" s="128">
        <v>8</v>
      </c>
      <c r="N5" s="128">
        <v>9</v>
      </c>
      <c r="O5" s="333">
        <v>7</v>
      </c>
      <c r="P5" s="128">
        <v>11</v>
      </c>
      <c r="Q5" s="141"/>
    </row>
    <row r="6" spans="2:17" x14ac:dyDescent="0.25">
      <c r="B6" s="130" t="s">
        <v>6</v>
      </c>
      <c r="C6" s="131" t="s">
        <v>15</v>
      </c>
      <c r="D6" s="132" t="s">
        <v>3</v>
      </c>
      <c r="E6" s="149">
        <v>30161.813225332826</v>
      </c>
      <c r="F6" s="133">
        <v>100572.5</v>
      </c>
      <c r="G6" s="133">
        <v>97457.7</v>
      </c>
      <c r="H6" s="149">
        <v>101027.70566260966</v>
      </c>
      <c r="I6" s="133"/>
      <c r="J6" s="131" t="s">
        <v>15</v>
      </c>
      <c r="K6" s="132" t="s">
        <v>3</v>
      </c>
      <c r="L6" s="149">
        <v>32523.782009999999</v>
      </c>
      <c r="M6" s="133">
        <v>92989.296999999991</v>
      </c>
      <c r="N6" s="133"/>
      <c r="O6" s="498">
        <v>114057.44578000001</v>
      </c>
      <c r="P6" s="133"/>
      <c r="Q6" s="141"/>
    </row>
    <row r="7" spans="2:17" x14ac:dyDescent="0.25">
      <c r="B7" s="130" t="s">
        <v>12</v>
      </c>
      <c r="C7" s="131" t="s">
        <v>5</v>
      </c>
      <c r="D7" s="132" t="s">
        <v>3</v>
      </c>
      <c r="E7" s="149">
        <v>16320.212555882057</v>
      </c>
      <c r="F7" s="133">
        <v>19093.8</v>
      </c>
      <c r="G7" s="133">
        <v>19522.900000000001</v>
      </c>
      <c r="H7" s="149">
        <v>19385.095861410555</v>
      </c>
      <c r="I7" s="133"/>
      <c r="J7" s="131" t="s">
        <v>5</v>
      </c>
      <c r="K7" s="132" t="s">
        <v>3</v>
      </c>
      <c r="L7" s="149">
        <v>15686.73756</v>
      </c>
      <c r="M7" s="133">
        <v>17659.76283</v>
      </c>
      <c r="N7" s="133"/>
      <c r="O7" s="498">
        <v>20791.145</v>
      </c>
      <c r="P7" s="133"/>
      <c r="Q7" s="141"/>
    </row>
    <row r="8" spans="2:17" x14ac:dyDescent="0.25">
      <c r="B8" s="130" t="s">
        <v>20</v>
      </c>
      <c r="C8" s="131" t="s">
        <v>16</v>
      </c>
      <c r="D8" s="132" t="s">
        <v>3</v>
      </c>
      <c r="E8" s="149">
        <v>8497.9793114494732</v>
      </c>
      <c r="F8" s="133">
        <v>17705.900000000001</v>
      </c>
      <c r="G8" s="133">
        <v>16596.099999999999</v>
      </c>
      <c r="H8" s="149">
        <v>16740.235123114744</v>
      </c>
      <c r="I8" s="133"/>
      <c r="J8" s="131" t="s">
        <v>16</v>
      </c>
      <c r="K8" s="132" t="s">
        <v>3</v>
      </c>
      <c r="L8" s="149">
        <v>8837.3310099999999</v>
      </c>
      <c r="M8" s="133">
        <v>12877.30343</v>
      </c>
      <c r="N8" s="133"/>
      <c r="O8" s="498">
        <v>14762.90531</v>
      </c>
      <c r="P8" s="133"/>
      <c r="Q8" s="141"/>
    </row>
    <row r="9" spans="2:17" x14ac:dyDescent="0.25">
      <c r="B9" s="130" t="s">
        <v>42</v>
      </c>
      <c r="C9" s="131" t="s">
        <v>17</v>
      </c>
      <c r="D9" s="132" t="s">
        <v>3</v>
      </c>
      <c r="E9" s="149">
        <v>7456.8189964375588</v>
      </c>
      <c r="F9" s="133">
        <v>15840.9</v>
      </c>
      <c r="G9" s="133">
        <v>13387.6</v>
      </c>
      <c r="H9" s="149">
        <v>13966.434287048854</v>
      </c>
      <c r="I9" s="133"/>
      <c r="J9" s="131" t="s">
        <v>17</v>
      </c>
      <c r="K9" s="132" t="s">
        <v>3</v>
      </c>
      <c r="L9" s="149">
        <v>7353.0809100000006</v>
      </c>
      <c r="M9" s="133">
        <v>9787.43</v>
      </c>
      <c r="N9" s="133"/>
      <c r="O9" s="498">
        <v>13075.14316</v>
      </c>
      <c r="P9" s="133"/>
      <c r="Q9" s="141"/>
    </row>
    <row r="10" spans="2:17" x14ac:dyDescent="0.25">
      <c r="B10" s="130" t="s">
        <v>44</v>
      </c>
      <c r="C10" s="131" t="s">
        <v>18</v>
      </c>
      <c r="D10" s="132" t="s">
        <v>3</v>
      </c>
      <c r="E10" s="149">
        <v>9953.1699335939593</v>
      </c>
      <c r="F10" s="133">
        <v>24461.5</v>
      </c>
      <c r="G10" s="133">
        <v>24663.8</v>
      </c>
      <c r="H10" s="149">
        <v>19505.343503181568</v>
      </c>
      <c r="I10" s="133"/>
      <c r="J10" s="131" t="s">
        <v>18</v>
      </c>
      <c r="K10" s="132" t="s">
        <v>3</v>
      </c>
      <c r="L10" s="149">
        <v>8765.9840199999999</v>
      </c>
      <c r="M10" s="133">
        <v>10678.1109</v>
      </c>
      <c r="N10" s="133"/>
      <c r="O10" s="498">
        <v>24514.950980000001</v>
      </c>
      <c r="P10" s="133"/>
      <c r="Q10" s="141"/>
    </row>
    <row r="11" spans="2:17" x14ac:dyDescent="0.25">
      <c r="B11" s="134" t="s">
        <v>46</v>
      </c>
      <c r="C11" s="135" t="s">
        <v>19</v>
      </c>
      <c r="D11" s="136" t="s">
        <v>3</v>
      </c>
      <c r="E11" s="150">
        <v>10724.926374713084</v>
      </c>
      <c r="F11" s="137">
        <v>10790.7</v>
      </c>
      <c r="G11" s="137">
        <v>11020.7</v>
      </c>
      <c r="H11" s="150">
        <v>11016.587058098583</v>
      </c>
      <c r="I11" s="137"/>
      <c r="J11" s="135" t="s">
        <v>19</v>
      </c>
      <c r="K11" s="136" t="s">
        <v>3</v>
      </c>
      <c r="L11" s="150">
        <v>10795.118399999999</v>
      </c>
      <c r="M11" s="137">
        <v>8365.3010000000013</v>
      </c>
      <c r="N11" s="137"/>
      <c r="O11" s="499">
        <v>8199.1440700000003</v>
      </c>
      <c r="P11" s="137"/>
      <c r="Q11" s="141"/>
    </row>
    <row r="12" spans="2:17" x14ac:dyDescent="0.25">
      <c r="E12" s="177"/>
      <c r="L12" s="177"/>
    </row>
  </sheetData>
  <mergeCells count="10">
    <mergeCell ref="K3:K4"/>
    <mergeCell ref="C2:I2"/>
    <mergeCell ref="L3:M3"/>
    <mergeCell ref="J2:M2"/>
    <mergeCell ref="B1:M1"/>
    <mergeCell ref="B2:B4"/>
    <mergeCell ref="C3:C4"/>
    <mergeCell ref="D3:D4"/>
    <mergeCell ref="E3:I3"/>
    <mergeCell ref="J3:J4"/>
  </mergeCells>
  <phoneticPr fontId="23" type="noConversion"/>
  <printOptions horizontalCentered="1"/>
  <pageMargins left="1.1811023622047245" right="0.39370078740157483" top="0.39370078740157483" bottom="0.3937007874015748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DG27"/>
  <sheetViews>
    <sheetView zoomScale="60" zoomScaleNormal="60" zoomScaleSheetLayoutView="100" workbookViewId="0">
      <pane xSplit="3" ySplit="5" topLeftCell="D24" activePane="bottomRight" state="frozen"/>
      <selection pane="topRight" activeCell="D1" sqref="D1"/>
      <selection pane="bottomLeft" activeCell="A6" sqref="A6"/>
      <selection pane="bottomRight" activeCell="DG25" sqref="DG25"/>
    </sheetView>
  </sheetViews>
  <sheetFormatPr defaultRowHeight="12.75" x14ac:dyDescent="0.2"/>
  <cols>
    <col min="1" max="1" width="6.5703125" style="2" customWidth="1"/>
    <col min="2" max="2" width="45.7109375" style="2" customWidth="1"/>
    <col min="3" max="3" width="10.28515625" style="2" customWidth="1"/>
    <col min="4" max="4" width="0.42578125" style="2" customWidth="1"/>
    <col min="5" max="5" width="10" style="2" hidden="1" customWidth="1"/>
    <col min="6" max="6" width="13.28515625" style="2" hidden="1" customWidth="1"/>
    <col min="7" max="7" width="32.7109375" style="2" hidden="1" customWidth="1"/>
    <col min="8" max="8" width="10" style="2" hidden="1" customWidth="1"/>
    <col min="9" max="9" width="7.28515625" style="314" hidden="1" customWidth="1"/>
    <col min="10" max="10" width="9.85546875" style="2" hidden="1" customWidth="1"/>
    <col min="11" max="11" width="9" style="2" hidden="1" customWidth="1"/>
    <col min="12" max="12" width="10" style="2" hidden="1" customWidth="1"/>
    <col min="13" max="13" width="6.7109375" style="2" hidden="1" customWidth="1"/>
    <col min="14" max="14" width="9.140625" style="2" hidden="1" customWidth="1"/>
    <col min="15" max="15" width="9.5703125" style="2" hidden="1" customWidth="1"/>
    <col min="16" max="16" width="8.7109375" style="2" customWidth="1"/>
    <col min="17" max="17" width="8.5703125" style="297" customWidth="1"/>
    <col min="18" max="18" width="11.140625" style="2" bestFit="1" customWidth="1"/>
    <col min="19" max="19" width="22.28515625" style="2" customWidth="1"/>
    <col min="20" max="20" width="19" style="2" hidden="1" customWidth="1"/>
    <col min="21" max="21" width="10" style="2" hidden="1" customWidth="1"/>
    <col min="22" max="22" width="9.85546875" style="2" hidden="1" customWidth="1"/>
    <col min="23" max="23" width="13.42578125" style="2" hidden="1" customWidth="1"/>
    <col min="24" max="24" width="29.140625" style="2" hidden="1" customWidth="1"/>
    <col min="25" max="25" width="7.5703125" style="2" hidden="1" customWidth="1"/>
    <col min="26" max="26" width="7.140625" style="314" hidden="1" customWidth="1"/>
    <col min="27" max="27" width="10.85546875" style="2" hidden="1" customWidth="1"/>
    <col min="28" max="28" width="11.140625" style="2" hidden="1" customWidth="1"/>
    <col min="29" max="29" width="9.140625" style="2" hidden="1" customWidth="1"/>
    <col min="30" max="30" width="8.140625" style="2" hidden="1" customWidth="1"/>
    <col min="31" max="31" width="9.42578125" style="2" hidden="1" customWidth="1"/>
    <col min="32" max="32" width="10.5703125" style="2" hidden="1" customWidth="1"/>
    <col min="33" max="33" width="10" style="2" customWidth="1"/>
    <col min="34" max="34" width="10" style="297" customWidth="1"/>
    <col min="35" max="35" width="13" style="2" customWidth="1"/>
    <col min="36" max="36" width="19.7109375" style="2" customWidth="1"/>
    <col min="37" max="39" width="10" style="2" hidden="1" customWidth="1"/>
    <col min="40" max="40" width="9" style="2" hidden="1" customWidth="1"/>
    <col min="41" max="41" width="14.7109375" style="2" hidden="1" customWidth="1"/>
    <col min="42" max="42" width="8.5703125" style="2" hidden="1" customWidth="1"/>
    <col min="43" max="43" width="7" style="314" hidden="1" customWidth="1"/>
    <col min="44" max="44" width="12.28515625" style="2" hidden="1" customWidth="1"/>
    <col min="45" max="45" width="8" style="2" hidden="1" customWidth="1"/>
    <col min="46" max="46" width="0.140625" style="2" hidden="1" customWidth="1"/>
    <col min="47" max="47" width="5.7109375" style="2" hidden="1" customWidth="1"/>
    <col min="48" max="48" width="8" style="2" hidden="1" customWidth="1"/>
    <col min="49" max="49" width="7" style="2" hidden="1" customWidth="1"/>
    <col min="50" max="50" width="10" style="2" customWidth="1"/>
    <col min="51" max="51" width="10" style="297" customWidth="1"/>
    <col min="52" max="52" width="11" style="2" customWidth="1"/>
    <col min="53" max="53" width="19.42578125" style="2" customWidth="1"/>
    <col min="54" max="54" width="8.7109375" style="2" hidden="1" customWidth="1"/>
    <col min="55" max="56" width="10" style="2" hidden="1" customWidth="1"/>
    <col min="57" max="57" width="14.28515625" style="2" hidden="1" customWidth="1"/>
    <col min="58" max="58" width="9" style="2" hidden="1" customWidth="1"/>
    <col min="59" max="59" width="5.85546875" style="2" hidden="1" customWidth="1"/>
    <col min="60" max="60" width="5.85546875" style="314" hidden="1" customWidth="1"/>
    <col min="61" max="61" width="8.140625" style="2" hidden="1" customWidth="1"/>
    <col min="62" max="62" width="7.140625" style="2" hidden="1" customWidth="1"/>
    <col min="63" max="63" width="0.140625" style="2" customWidth="1"/>
    <col min="64" max="64" width="3.85546875" style="2" hidden="1" customWidth="1"/>
    <col min="65" max="65" width="6" style="2" hidden="1" customWidth="1"/>
    <col min="66" max="66" width="6.85546875" style="2" hidden="1" customWidth="1"/>
    <col min="67" max="67" width="10" style="2" customWidth="1"/>
    <col min="68" max="68" width="10" style="297" customWidth="1"/>
    <col min="69" max="69" width="10.85546875" style="2" customWidth="1"/>
    <col min="70" max="70" width="20.42578125" style="2" customWidth="1"/>
    <col min="71" max="71" width="5.5703125" style="2" hidden="1" customWidth="1"/>
    <col min="72" max="75" width="7.42578125" style="2" hidden="1" customWidth="1"/>
    <col min="76" max="76" width="9" style="2" hidden="1" customWidth="1"/>
    <col min="77" max="77" width="7.42578125" style="314" hidden="1" customWidth="1"/>
    <col min="78" max="79" width="7.42578125" style="2" hidden="1" customWidth="1"/>
    <col min="80" max="80" width="0.28515625" style="2" customWidth="1"/>
    <col min="81" max="83" width="7.42578125" style="2" hidden="1" customWidth="1"/>
    <col min="84" max="84" width="9.28515625" style="2" customWidth="1"/>
    <col min="85" max="85" width="9.28515625" style="297" customWidth="1"/>
    <col min="86" max="86" width="11.140625" style="2" customWidth="1"/>
    <col min="87" max="87" width="21.5703125" style="2" customWidth="1"/>
    <col min="88" max="90" width="10" style="2" hidden="1" customWidth="1"/>
    <col min="91" max="91" width="16.140625" style="2" hidden="1" customWidth="1"/>
    <col min="92" max="92" width="13.85546875" style="2" hidden="1" customWidth="1"/>
    <col min="93" max="93" width="10" style="2" hidden="1" customWidth="1"/>
    <col min="94" max="94" width="13.42578125" style="314" hidden="1" customWidth="1"/>
    <col min="95" max="95" width="13.42578125" style="2" hidden="1" customWidth="1"/>
    <col min="96" max="96" width="13.7109375" style="2" hidden="1" customWidth="1"/>
    <col min="97" max="98" width="10" style="2" hidden="1" customWidth="1"/>
    <col min="99" max="99" width="13.42578125" style="2" hidden="1" customWidth="1"/>
    <col min="100" max="100" width="12" style="2" hidden="1" customWidth="1"/>
    <col min="101" max="101" width="10" style="2" customWidth="1"/>
    <col min="102" max="102" width="10" style="297" customWidth="1"/>
    <col min="103" max="103" width="15" style="2" customWidth="1"/>
    <col min="104" max="104" width="21" style="2" customWidth="1"/>
    <col min="105" max="105" width="10" style="2" hidden="1" customWidth="1"/>
    <col min="106" max="108" width="9.140625" style="2"/>
    <col min="109" max="109" width="26.42578125" style="2" customWidth="1"/>
    <col min="110" max="16384" width="9.140625" style="2"/>
  </cols>
  <sheetData>
    <row r="1" spans="1:106" s="1" customFormat="1" ht="22.5" customHeight="1" x14ac:dyDescent="0.25">
      <c r="A1" s="506" t="s">
        <v>184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  <c r="AJ1" s="506"/>
      <c r="AK1" s="506"/>
      <c r="AL1" s="506"/>
      <c r="AM1" s="506"/>
      <c r="AN1" s="506"/>
      <c r="AO1" s="506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6"/>
      <c r="BA1" s="506"/>
      <c r="BB1" s="506"/>
      <c r="BC1" s="506"/>
      <c r="BD1" s="506"/>
      <c r="BE1" s="506"/>
      <c r="BF1" s="506"/>
      <c r="BG1" s="506"/>
      <c r="BH1" s="506"/>
      <c r="BI1" s="506"/>
      <c r="BJ1" s="506"/>
      <c r="BK1" s="506"/>
      <c r="BL1" s="506"/>
      <c r="BM1" s="506"/>
      <c r="BN1" s="506"/>
      <c r="BO1" s="506"/>
      <c r="BP1" s="506"/>
      <c r="BQ1" s="506"/>
      <c r="BR1" s="506"/>
      <c r="BS1" s="506"/>
      <c r="BT1" s="506"/>
      <c r="BU1" s="506"/>
      <c r="BV1" s="506"/>
      <c r="BW1" s="506"/>
      <c r="BX1" s="506"/>
      <c r="BY1" s="506"/>
      <c r="BZ1" s="506"/>
      <c r="CA1" s="506"/>
      <c r="CB1" s="506"/>
      <c r="CC1" s="506"/>
      <c r="CD1" s="506"/>
      <c r="CE1" s="506"/>
      <c r="CF1" s="506"/>
      <c r="CG1" s="506"/>
      <c r="CH1" s="506"/>
      <c r="CI1" s="506"/>
      <c r="CJ1" s="506"/>
      <c r="CK1" s="506"/>
      <c r="CL1" s="506"/>
      <c r="CM1" s="506"/>
      <c r="CN1" s="506"/>
      <c r="CO1" s="506"/>
      <c r="CP1" s="506"/>
      <c r="CQ1" s="506"/>
      <c r="CR1" s="506"/>
      <c r="CS1" s="506"/>
      <c r="CT1" s="506"/>
      <c r="CU1" s="506"/>
      <c r="CV1" s="506"/>
      <c r="CW1" s="506"/>
      <c r="CX1" s="506"/>
      <c r="CY1" s="506"/>
      <c r="CZ1" s="506"/>
      <c r="DA1" s="506"/>
    </row>
    <row r="2" spans="1:106" ht="16.5" customHeight="1" x14ac:dyDescent="0.2">
      <c r="A2" s="611" t="s">
        <v>25</v>
      </c>
      <c r="B2" s="611" t="s">
        <v>2</v>
      </c>
      <c r="C2" s="611" t="s">
        <v>26</v>
      </c>
      <c r="D2" s="608" t="s">
        <v>76</v>
      </c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09"/>
      <c r="AE2" s="609"/>
      <c r="AF2" s="609"/>
      <c r="AG2" s="609"/>
      <c r="AH2" s="609"/>
      <c r="AI2" s="609"/>
      <c r="AJ2" s="609"/>
      <c r="AK2" s="609"/>
      <c r="AL2" s="609"/>
      <c r="AM2" s="609"/>
      <c r="AN2" s="609"/>
      <c r="AO2" s="609"/>
      <c r="AP2" s="609"/>
      <c r="AQ2" s="609"/>
      <c r="AR2" s="609"/>
      <c r="AS2" s="609"/>
      <c r="AT2" s="609"/>
      <c r="AU2" s="609"/>
      <c r="AV2" s="609"/>
      <c r="AW2" s="609"/>
      <c r="AX2" s="609"/>
      <c r="AY2" s="609"/>
      <c r="AZ2" s="609"/>
      <c r="BA2" s="609"/>
      <c r="BB2" s="609"/>
      <c r="BC2" s="609"/>
      <c r="BD2" s="609"/>
      <c r="BE2" s="609"/>
      <c r="BF2" s="609"/>
      <c r="BG2" s="609"/>
      <c r="BH2" s="609"/>
      <c r="BI2" s="609"/>
      <c r="BJ2" s="609"/>
      <c r="BK2" s="609"/>
      <c r="BL2" s="609"/>
      <c r="BM2" s="609"/>
      <c r="BN2" s="609"/>
      <c r="BO2" s="609"/>
      <c r="BP2" s="609"/>
      <c r="BQ2" s="609"/>
      <c r="BR2" s="609"/>
      <c r="BS2" s="609"/>
      <c r="BT2" s="609"/>
      <c r="BU2" s="609"/>
      <c r="BV2" s="609"/>
      <c r="BW2" s="609"/>
      <c r="BX2" s="609"/>
      <c r="BY2" s="609"/>
      <c r="BZ2" s="609"/>
      <c r="CA2" s="609"/>
      <c r="CB2" s="609"/>
      <c r="CC2" s="609"/>
      <c r="CD2" s="609"/>
      <c r="CE2" s="609"/>
      <c r="CF2" s="609"/>
      <c r="CG2" s="609"/>
      <c r="CH2" s="609"/>
      <c r="CI2" s="609"/>
      <c r="CJ2" s="609"/>
      <c r="CK2" s="609"/>
      <c r="CL2" s="609"/>
      <c r="CM2" s="609"/>
      <c r="CN2" s="609"/>
      <c r="CO2" s="609"/>
      <c r="CP2" s="609"/>
      <c r="CQ2" s="609"/>
      <c r="CR2" s="609"/>
      <c r="CS2" s="609"/>
      <c r="CT2" s="609"/>
      <c r="CU2" s="609"/>
      <c r="CV2" s="609"/>
      <c r="CW2" s="609"/>
      <c r="CX2" s="609"/>
      <c r="CY2" s="609"/>
      <c r="CZ2" s="609"/>
      <c r="DA2" s="610"/>
      <c r="DB2" s="14"/>
    </row>
    <row r="3" spans="1:106" s="296" customFormat="1" ht="24.75" customHeight="1" x14ac:dyDescent="0.2">
      <c r="A3" s="612"/>
      <c r="B3" s="612"/>
      <c r="C3" s="612"/>
      <c r="D3" s="598" t="s">
        <v>15</v>
      </c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599"/>
      <c r="U3" s="598" t="s">
        <v>5</v>
      </c>
      <c r="V3" s="607"/>
      <c r="W3" s="607"/>
      <c r="X3" s="607"/>
      <c r="Y3" s="607"/>
      <c r="Z3" s="607"/>
      <c r="AA3" s="607"/>
      <c r="AB3" s="607"/>
      <c r="AC3" s="607"/>
      <c r="AD3" s="607"/>
      <c r="AE3" s="607"/>
      <c r="AF3" s="607"/>
      <c r="AG3" s="607"/>
      <c r="AH3" s="607"/>
      <c r="AI3" s="607"/>
      <c r="AJ3" s="607"/>
      <c r="AK3" s="599"/>
      <c r="AL3" s="598" t="s">
        <v>16</v>
      </c>
      <c r="AM3" s="607"/>
      <c r="AN3" s="607"/>
      <c r="AO3" s="607"/>
      <c r="AP3" s="607"/>
      <c r="AQ3" s="607"/>
      <c r="AR3" s="607"/>
      <c r="AS3" s="607"/>
      <c r="AT3" s="607"/>
      <c r="AU3" s="607"/>
      <c r="AV3" s="607"/>
      <c r="AW3" s="607"/>
      <c r="AX3" s="607"/>
      <c r="AY3" s="607"/>
      <c r="AZ3" s="607"/>
      <c r="BA3" s="607"/>
      <c r="BB3" s="599"/>
      <c r="BC3" s="598" t="s">
        <v>17</v>
      </c>
      <c r="BD3" s="607"/>
      <c r="BE3" s="607"/>
      <c r="BF3" s="607"/>
      <c r="BG3" s="607"/>
      <c r="BH3" s="607"/>
      <c r="BI3" s="607"/>
      <c r="BJ3" s="607"/>
      <c r="BK3" s="607"/>
      <c r="BL3" s="607"/>
      <c r="BM3" s="607"/>
      <c r="BN3" s="607"/>
      <c r="BO3" s="607"/>
      <c r="BP3" s="607"/>
      <c r="BQ3" s="607"/>
      <c r="BR3" s="607"/>
      <c r="BS3" s="599"/>
      <c r="BT3" s="598" t="s">
        <v>18</v>
      </c>
      <c r="BU3" s="607"/>
      <c r="BV3" s="607"/>
      <c r="BW3" s="607"/>
      <c r="BX3" s="607"/>
      <c r="BY3" s="607"/>
      <c r="BZ3" s="607"/>
      <c r="CA3" s="607"/>
      <c r="CB3" s="607"/>
      <c r="CC3" s="607"/>
      <c r="CD3" s="607"/>
      <c r="CE3" s="607"/>
      <c r="CF3" s="607"/>
      <c r="CG3" s="607"/>
      <c r="CH3" s="607"/>
      <c r="CI3" s="607"/>
      <c r="CJ3" s="599"/>
      <c r="CK3" s="598" t="s">
        <v>19</v>
      </c>
      <c r="CL3" s="607"/>
      <c r="CM3" s="607"/>
      <c r="CN3" s="607"/>
      <c r="CO3" s="607"/>
      <c r="CP3" s="607"/>
      <c r="CQ3" s="607"/>
      <c r="CR3" s="607"/>
      <c r="CS3" s="607"/>
      <c r="CT3" s="607"/>
      <c r="CU3" s="607"/>
      <c r="CV3" s="607"/>
      <c r="CW3" s="607"/>
      <c r="CX3" s="607"/>
      <c r="CY3" s="607"/>
      <c r="CZ3" s="607"/>
      <c r="DA3" s="599"/>
      <c r="DB3" s="295"/>
    </row>
    <row r="4" spans="1:106" s="296" customFormat="1" ht="24" customHeight="1" x14ac:dyDescent="0.2">
      <c r="A4" s="612"/>
      <c r="B4" s="612"/>
      <c r="C4" s="612"/>
      <c r="D4" s="598" t="s">
        <v>145</v>
      </c>
      <c r="E4" s="599"/>
      <c r="F4" s="596" t="s">
        <v>188</v>
      </c>
      <c r="G4" s="596" t="s">
        <v>183</v>
      </c>
      <c r="H4" s="600" t="s">
        <v>146</v>
      </c>
      <c r="I4" s="601"/>
      <c r="J4" s="602" t="s">
        <v>188</v>
      </c>
      <c r="K4" s="602" t="s">
        <v>183</v>
      </c>
      <c r="L4" s="598" t="s">
        <v>147</v>
      </c>
      <c r="M4" s="599"/>
      <c r="N4" s="596" t="s">
        <v>188</v>
      </c>
      <c r="O4" s="596" t="s">
        <v>183</v>
      </c>
      <c r="P4" s="598" t="s">
        <v>148</v>
      </c>
      <c r="Q4" s="599"/>
      <c r="R4" s="596" t="s">
        <v>188</v>
      </c>
      <c r="S4" s="596" t="s">
        <v>183</v>
      </c>
      <c r="T4" s="396" t="s">
        <v>149</v>
      </c>
      <c r="U4" s="598" t="s">
        <v>145</v>
      </c>
      <c r="V4" s="599"/>
      <c r="W4" s="596" t="s">
        <v>188</v>
      </c>
      <c r="X4" s="596" t="s">
        <v>183</v>
      </c>
      <c r="Y4" s="600" t="s">
        <v>146</v>
      </c>
      <c r="Z4" s="601"/>
      <c r="AA4" s="602" t="s">
        <v>188</v>
      </c>
      <c r="AB4" s="602" t="s">
        <v>183</v>
      </c>
      <c r="AC4" s="598" t="str">
        <f>L4</f>
        <v>2021 год</v>
      </c>
      <c r="AD4" s="599"/>
      <c r="AE4" s="596" t="s">
        <v>188</v>
      </c>
      <c r="AF4" s="596" t="s">
        <v>183</v>
      </c>
      <c r="AG4" s="598" t="s">
        <v>148</v>
      </c>
      <c r="AH4" s="599"/>
      <c r="AI4" s="596" t="s">
        <v>188</v>
      </c>
      <c r="AJ4" s="596" t="s">
        <v>183</v>
      </c>
      <c r="AK4" s="396" t="s">
        <v>149</v>
      </c>
      <c r="AL4" s="598" t="s">
        <v>145</v>
      </c>
      <c r="AM4" s="599"/>
      <c r="AN4" s="596" t="s">
        <v>188</v>
      </c>
      <c r="AO4" s="596" t="s">
        <v>183</v>
      </c>
      <c r="AP4" s="600" t="s">
        <v>146</v>
      </c>
      <c r="AQ4" s="601"/>
      <c r="AR4" s="602" t="s">
        <v>188</v>
      </c>
      <c r="AS4" s="602" t="s">
        <v>183</v>
      </c>
      <c r="AT4" s="598" t="str">
        <f>L4</f>
        <v>2021 год</v>
      </c>
      <c r="AU4" s="599"/>
      <c r="AV4" s="596" t="s">
        <v>188</v>
      </c>
      <c r="AW4" s="596" t="s">
        <v>183</v>
      </c>
      <c r="AX4" s="598" t="s">
        <v>148</v>
      </c>
      <c r="AY4" s="599"/>
      <c r="AZ4" s="596" t="s">
        <v>188</v>
      </c>
      <c r="BA4" s="596" t="s">
        <v>183</v>
      </c>
      <c r="BB4" s="396" t="s">
        <v>149</v>
      </c>
      <c r="BC4" s="598" t="s">
        <v>145</v>
      </c>
      <c r="BD4" s="599"/>
      <c r="BE4" s="596" t="s">
        <v>188</v>
      </c>
      <c r="BF4" s="596" t="s">
        <v>183</v>
      </c>
      <c r="BG4" s="600" t="s">
        <v>146</v>
      </c>
      <c r="BH4" s="601"/>
      <c r="BI4" s="602" t="s">
        <v>188</v>
      </c>
      <c r="BJ4" s="602" t="s">
        <v>183</v>
      </c>
      <c r="BK4" s="598" t="str">
        <f>L4</f>
        <v>2021 год</v>
      </c>
      <c r="BL4" s="599"/>
      <c r="BM4" s="596" t="s">
        <v>188</v>
      </c>
      <c r="BN4" s="596" t="s">
        <v>183</v>
      </c>
      <c r="BO4" s="598" t="s">
        <v>148</v>
      </c>
      <c r="BP4" s="599"/>
      <c r="BQ4" s="596" t="s">
        <v>188</v>
      </c>
      <c r="BR4" s="596" t="s">
        <v>183</v>
      </c>
      <c r="BS4" s="396" t="s">
        <v>149</v>
      </c>
      <c r="BT4" s="598" t="s">
        <v>145</v>
      </c>
      <c r="BU4" s="599"/>
      <c r="BV4" s="596" t="s">
        <v>188</v>
      </c>
      <c r="BW4" s="596" t="s">
        <v>183</v>
      </c>
      <c r="BX4" s="600" t="s">
        <v>146</v>
      </c>
      <c r="BY4" s="601"/>
      <c r="BZ4" s="602" t="s">
        <v>188</v>
      </c>
      <c r="CA4" s="602" t="s">
        <v>183</v>
      </c>
      <c r="CB4" s="598" t="str">
        <f>L4</f>
        <v>2021 год</v>
      </c>
      <c r="CC4" s="599"/>
      <c r="CD4" s="596" t="s">
        <v>188</v>
      </c>
      <c r="CE4" s="596" t="s">
        <v>183</v>
      </c>
      <c r="CF4" s="598" t="s">
        <v>148</v>
      </c>
      <c r="CG4" s="599"/>
      <c r="CH4" s="596" t="s">
        <v>188</v>
      </c>
      <c r="CI4" s="596" t="s">
        <v>183</v>
      </c>
      <c r="CJ4" s="396" t="s">
        <v>149</v>
      </c>
      <c r="CK4" s="598" t="s">
        <v>145</v>
      </c>
      <c r="CL4" s="599"/>
      <c r="CM4" s="596" t="s">
        <v>189</v>
      </c>
      <c r="CN4" s="596" t="s">
        <v>183</v>
      </c>
      <c r="CO4" s="600" t="s">
        <v>146</v>
      </c>
      <c r="CP4" s="601"/>
      <c r="CQ4" s="602" t="s">
        <v>188</v>
      </c>
      <c r="CR4" s="602" t="s">
        <v>183</v>
      </c>
      <c r="CS4" s="598" t="str">
        <f>L4</f>
        <v>2021 год</v>
      </c>
      <c r="CT4" s="599"/>
      <c r="CU4" s="596" t="s">
        <v>188</v>
      </c>
      <c r="CV4" s="596" t="s">
        <v>183</v>
      </c>
      <c r="CW4" s="598" t="s">
        <v>148</v>
      </c>
      <c r="CX4" s="599"/>
      <c r="CY4" s="596" t="s">
        <v>188</v>
      </c>
      <c r="CZ4" s="596" t="s">
        <v>183</v>
      </c>
      <c r="DA4" s="396" t="s">
        <v>149</v>
      </c>
      <c r="DB4" s="295"/>
    </row>
    <row r="5" spans="1:106" ht="34.5" customHeight="1" x14ac:dyDescent="0.2">
      <c r="A5" s="613"/>
      <c r="B5" s="613"/>
      <c r="C5" s="613"/>
      <c r="D5" s="397" t="s">
        <v>90</v>
      </c>
      <c r="E5" s="397" t="s">
        <v>91</v>
      </c>
      <c r="F5" s="597"/>
      <c r="G5" s="597"/>
      <c r="H5" s="235" t="s">
        <v>90</v>
      </c>
      <c r="I5" s="235" t="s">
        <v>91</v>
      </c>
      <c r="J5" s="603"/>
      <c r="K5" s="603"/>
      <c r="L5" s="397" t="s">
        <v>90</v>
      </c>
      <c r="M5" s="397" t="s">
        <v>91</v>
      </c>
      <c r="N5" s="597"/>
      <c r="O5" s="597"/>
      <c r="P5" s="397" t="s">
        <v>90</v>
      </c>
      <c r="Q5" s="397" t="s">
        <v>91</v>
      </c>
      <c r="R5" s="597"/>
      <c r="S5" s="597"/>
      <c r="T5" s="397" t="s">
        <v>90</v>
      </c>
      <c r="U5" s="397" t="s">
        <v>90</v>
      </c>
      <c r="V5" s="397" t="s">
        <v>91</v>
      </c>
      <c r="W5" s="597"/>
      <c r="X5" s="597"/>
      <c r="Y5" s="235" t="s">
        <v>90</v>
      </c>
      <c r="Z5" s="235" t="s">
        <v>91</v>
      </c>
      <c r="AA5" s="603"/>
      <c r="AB5" s="603"/>
      <c r="AC5" s="397" t="s">
        <v>90</v>
      </c>
      <c r="AD5" s="397" t="s">
        <v>91</v>
      </c>
      <c r="AE5" s="597"/>
      <c r="AF5" s="597"/>
      <c r="AG5" s="397" t="s">
        <v>90</v>
      </c>
      <c r="AH5" s="397" t="s">
        <v>91</v>
      </c>
      <c r="AI5" s="597"/>
      <c r="AJ5" s="597"/>
      <c r="AK5" s="397" t="s">
        <v>90</v>
      </c>
      <c r="AL5" s="397" t="s">
        <v>90</v>
      </c>
      <c r="AM5" s="397" t="s">
        <v>91</v>
      </c>
      <c r="AN5" s="597"/>
      <c r="AO5" s="597"/>
      <c r="AP5" s="235" t="s">
        <v>90</v>
      </c>
      <c r="AQ5" s="235" t="s">
        <v>91</v>
      </c>
      <c r="AR5" s="603"/>
      <c r="AS5" s="603"/>
      <c r="AT5" s="397" t="s">
        <v>90</v>
      </c>
      <c r="AU5" s="397" t="s">
        <v>91</v>
      </c>
      <c r="AV5" s="597"/>
      <c r="AW5" s="597"/>
      <c r="AX5" s="397" t="s">
        <v>90</v>
      </c>
      <c r="AY5" s="397" t="s">
        <v>91</v>
      </c>
      <c r="AZ5" s="597"/>
      <c r="BA5" s="597"/>
      <c r="BB5" s="397" t="s">
        <v>90</v>
      </c>
      <c r="BC5" s="397" t="s">
        <v>90</v>
      </c>
      <c r="BD5" s="397" t="s">
        <v>91</v>
      </c>
      <c r="BE5" s="597"/>
      <c r="BF5" s="597"/>
      <c r="BG5" s="235" t="s">
        <v>90</v>
      </c>
      <c r="BH5" s="235" t="s">
        <v>91</v>
      </c>
      <c r="BI5" s="603"/>
      <c r="BJ5" s="603"/>
      <c r="BK5" s="397" t="s">
        <v>90</v>
      </c>
      <c r="BL5" s="397" t="s">
        <v>91</v>
      </c>
      <c r="BM5" s="597"/>
      <c r="BN5" s="597"/>
      <c r="BO5" s="397" t="s">
        <v>90</v>
      </c>
      <c r="BP5" s="397" t="s">
        <v>91</v>
      </c>
      <c r="BQ5" s="597"/>
      <c r="BR5" s="597"/>
      <c r="BS5" s="397" t="s">
        <v>90</v>
      </c>
      <c r="BT5" s="397" t="s">
        <v>90</v>
      </c>
      <c r="BU5" s="397" t="s">
        <v>91</v>
      </c>
      <c r="BV5" s="597"/>
      <c r="BW5" s="597"/>
      <c r="BX5" s="235" t="s">
        <v>90</v>
      </c>
      <c r="BY5" s="235" t="s">
        <v>91</v>
      </c>
      <c r="BZ5" s="603"/>
      <c r="CA5" s="603"/>
      <c r="CB5" s="397" t="s">
        <v>90</v>
      </c>
      <c r="CC5" s="397" t="s">
        <v>91</v>
      </c>
      <c r="CD5" s="597"/>
      <c r="CE5" s="597"/>
      <c r="CF5" s="397" t="s">
        <v>90</v>
      </c>
      <c r="CG5" s="397" t="s">
        <v>91</v>
      </c>
      <c r="CH5" s="597"/>
      <c r="CI5" s="597"/>
      <c r="CJ5" s="397" t="s">
        <v>90</v>
      </c>
      <c r="CK5" s="397" t="s">
        <v>90</v>
      </c>
      <c r="CL5" s="397" t="s">
        <v>91</v>
      </c>
      <c r="CM5" s="597"/>
      <c r="CN5" s="597"/>
      <c r="CO5" s="235" t="s">
        <v>90</v>
      </c>
      <c r="CP5" s="235" t="s">
        <v>91</v>
      </c>
      <c r="CQ5" s="603"/>
      <c r="CR5" s="603"/>
      <c r="CS5" s="397" t="s">
        <v>90</v>
      </c>
      <c r="CT5" s="397" t="s">
        <v>91</v>
      </c>
      <c r="CU5" s="597"/>
      <c r="CV5" s="597"/>
      <c r="CW5" s="397" t="s">
        <v>90</v>
      </c>
      <c r="CX5" s="397" t="s">
        <v>91</v>
      </c>
      <c r="CY5" s="597"/>
      <c r="CZ5" s="597"/>
      <c r="DA5" s="324" t="s">
        <v>90</v>
      </c>
      <c r="DB5" s="14"/>
    </row>
    <row r="6" spans="1:106" x14ac:dyDescent="0.2">
      <c r="A6" s="398">
        <v>1</v>
      </c>
      <c r="B6" s="324">
        <f>A6+1</f>
        <v>2</v>
      </c>
      <c r="C6" s="324">
        <f>B6+1</f>
        <v>3</v>
      </c>
      <c r="D6" s="324">
        <f>C6+1</f>
        <v>4</v>
      </c>
      <c r="E6" s="324">
        <v>5</v>
      </c>
      <c r="F6" s="324">
        <v>6</v>
      </c>
      <c r="G6" s="324">
        <v>7</v>
      </c>
      <c r="H6" s="236">
        <v>4</v>
      </c>
      <c r="I6" s="236">
        <v>5</v>
      </c>
      <c r="J6" s="236">
        <v>6</v>
      </c>
      <c r="K6" s="236">
        <v>7</v>
      </c>
      <c r="L6" s="324">
        <v>4</v>
      </c>
      <c r="M6" s="324">
        <v>5</v>
      </c>
      <c r="N6" s="324">
        <v>6</v>
      </c>
      <c r="O6" s="324">
        <v>7</v>
      </c>
      <c r="P6" s="324">
        <v>4</v>
      </c>
      <c r="Q6" s="324">
        <v>5</v>
      </c>
      <c r="R6" s="324">
        <v>6</v>
      </c>
      <c r="S6" s="324">
        <v>7</v>
      </c>
      <c r="T6" s="324">
        <f t="shared" ref="T6:BS6" si="0">S6+1</f>
        <v>8</v>
      </c>
      <c r="U6" s="324">
        <v>4</v>
      </c>
      <c r="V6" s="324">
        <v>5</v>
      </c>
      <c r="W6" s="324">
        <v>6</v>
      </c>
      <c r="X6" s="324">
        <v>7</v>
      </c>
      <c r="Y6" s="324">
        <v>4</v>
      </c>
      <c r="Z6" s="324">
        <v>5</v>
      </c>
      <c r="AA6" s="324">
        <v>6</v>
      </c>
      <c r="AB6" s="324">
        <v>7</v>
      </c>
      <c r="AC6" s="324">
        <v>4</v>
      </c>
      <c r="AD6" s="324">
        <v>5</v>
      </c>
      <c r="AE6" s="324">
        <v>6</v>
      </c>
      <c r="AF6" s="324">
        <v>7</v>
      </c>
      <c r="AG6" s="324">
        <v>8</v>
      </c>
      <c r="AH6" s="324">
        <v>9</v>
      </c>
      <c r="AI6" s="324">
        <v>10</v>
      </c>
      <c r="AJ6" s="324">
        <v>11</v>
      </c>
      <c r="AK6" s="324">
        <f t="shared" si="0"/>
        <v>12</v>
      </c>
      <c r="AL6" s="324">
        <v>4</v>
      </c>
      <c r="AM6" s="324">
        <v>5</v>
      </c>
      <c r="AN6" s="324">
        <v>6</v>
      </c>
      <c r="AO6" s="324">
        <v>7</v>
      </c>
      <c r="AP6" s="324">
        <v>4</v>
      </c>
      <c r="AQ6" s="324">
        <v>5</v>
      </c>
      <c r="AR6" s="324">
        <v>6</v>
      </c>
      <c r="AS6" s="324">
        <v>7</v>
      </c>
      <c r="AT6" s="324">
        <v>4</v>
      </c>
      <c r="AU6" s="324">
        <v>5</v>
      </c>
      <c r="AV6" s="324">
        <v>6</v>
      </c>
      <c r="AW6" s="324">
        <v>7</v>
      </c>
      <c r="AX6" s="324">
        <v>12</v>
      </c>
      <c r="AY6" s="324">
        <v>13</v>
      </c>
      <c r="AZ6" s="324">
        <v>14</v>
      </c>
      <c r="BA6" s="324">
        <v>15</v>
      </c>
      <c r="BB6" s="324">
        <f t="shared" si="0"/>
        <v>16</v>
      </c>
      <c r="BC6" s="324">
        <v>4</v>
      </c>
      <c r="BD6" s="324">
        <v>5</v>
      </c>
      <c r="BE6" s="324">
        <v>6</v>
      </c>
      <c r="BF6" s="324">
        <v>7</v>
      </c>
      <c r="BG6" s="324">
        <v>4</v>
      </c>
      <c r="BH6" s="324">
        <v>5</v>
      </c>
      <c r="BI6" s="324">
        <v>6</v>
      </c>
      <c r="BJ6" s="324">
        <v>7</v>
      </c>
      <c r="BK6" s="324">
        <v>4</v>
      </c>
      <c r="BL6" s="324">
        <v>5</v>
      </c>
      <c r="BM6" s="324">
        <v>6</v>
      </c>
      <c r="BN6" s="324">
        <v>7</v>
      </c>
      <c r="BO6" s="324">
        <v>16</v>
      </c>
      <c r="BP6" s="324">
        <v>17</v>
      </c>
      <c r="BQ6" s="324">
        <v>18</v>
      </c>
      <c r="BR6" s="324">
        <v>19</v>
      </c>
      <c r="BS6" s="324">
        <f t="shared" si="0"/>
        <v>20</v>
      </c>
      <c r="BT6" s="324">
        <v>4</v>
      </c>
      <c r="BU6" s="324">
        <v>5</v>
      </c>
      <c r="BV6" s="324">
        <v>6</v>
      </c>
      <c r="BW6" s="324">
        <v>7</v>
      </c>
      <c r="BX6" s="324">
        <v>4</v>
      </c>
      <c r="BY6" s="324">
        <v>5</v>
      </c>
      <c r="BZ6" s="324">
        <v>6</v>
      </c>
      <c r="CA6" s="324">
        <v>7</v>
      </c>
      <c r="CB6" s="324">
        <v>4</v>
      </c>
      <c r="CC6" s="324">
        <v>5</v>
      </c>
      <c r="CD6" s="324">
        <v>6</v>
      </c>
      <c r="CE6" s="324">
        <v>7</v>
      </c>
      <c r="CF6" s="324">
        <v>20</v>
      </c>
      <c r="CG6" s="324">
        <v>21</v>
      </c>
      <c r="CH6" s="324">
        <v>22</v>
      </c>
      <c r="CI6" s="324">
        <v>23</v>
      </c>
      <c r="CJ6" s="324">
        <f t="shared" ref="CJ6:DA6" si="1">CI6+1</f>
        <v>24</v>
      </c>
      <c r="CK6" s="324">
        <v>4</v>
      </c>
      <c r="CL6" s="324">
        <v>5</v>
      </c>
      <c r="CM6" s="324">
        <v>6</v>
      </c>
      <c r="CN6" s="324">
        <v>7</v>
      </c>
      <c r="CO6" s="324">
        <v>4</v>
      </c>
      <c r="CP6" s="324">
        <v>5</v>
      </c>
      <c r="CQ6" s="324">
        <v>6</v>
      </c>
      <c r="CR6" s="324">
        <v>7</v>
      </c>
      <c r="CS6" s="324">
        <v>4</v>
      </c>
      <c r="CT6" s="324">
        <v>5</v>
      </c>
      <c r="CU6" s="324">
        <v>6</v>
      </c>
      <c r="CV6" s="324">
        <v>7</v>
      </c>
      <c r="CW6" s="324">
        <v>24</v>
      </c>
      <c r="CX6" s="324">
        <v>25</v>
      </c>
      <c r="CY6" s="324">
        <v>26</v>
      </c>
      <c r="CZ6" s="324">
        <v>27</v>
      </c>
      <c r="DA6" s="324">
        <f t="shared" si="1"/>
        <v>28</v>
      </c>
      <c r="DB6" s="14"/>
    </row>
    <row r="7" spans="1:106" ht="15.75" x14ac:dyDescent="0.2">
      <c r="A7" s="399" t="s">
        <v>55</v>
      </c>
      <c r="B7" s="618" t="s">
        <v>28</v>
      </c>
      <c r="C7" s="619"/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19"/>
      <c r="Q7" s="619"/>
      <c r="R7" s="619"/>
      <c r="S7" s="619"/>
      <c r="T7" s="619"/>
      <c r="U7" s="619"/>
      <c r="V7" s="619"/>
      <c r="W7" s="619"/>
      <c r="X7" s="619"/>
      <c r="Y7" s="619"/>
      <c r="Z7" s="619"/>
      <c r="AA7" s="619"/>
      <c r="AB7" s="619"/>
      <c r="AC7" s="619"/>
      <c r="AD7" s="619"/>
      <c r="AE7" s="619"/>
      <c r="AF7" s="619"/>
      <c r="AG7" s="619"/>
      <c r="AH7" s="619"/>
      <c r="AI7" s="619"/>
      <c r="AJ7" s="619"/>
      <c r="AK7" s="619"/>
      <c r="AL7" s="619"/>
      <c r="AM7" s="619"/>
      <c r="AN7" s="619"/>
      <c r="AO7" s="619"/>
      <c r="AP7" s="619"/>
      <c r="AQ7" s="619"/>
      <c r="AR7" s="619"/>
      <c r="AS7" s="619"/>
      <c r="AT7" s="619"/>
      <c r="AU7" s="619"/>
      <c r="AV7" s="619"/>
      <c r="AW7" s="619"/>
      <c r="AX7" s="619"/>
      <c r="AY7" s="619"/>
      <c r="AZ7" s="619"/>
      <c r="BA7" s="619"/>
      <c r="BB7" s="619"/>
      <c r="BC7" s="619"/>
      <c r="BD7" s="619"/>
      <c r="BE7" s="619"/>
      <c r="BF7" s="619"/>
      <c r="BG7" s="619"/>
      <c r="BH7" s="619"/>
      <c r="BI7" s="619"/>
      <c r="BJ7" s="619"/>
      <c r="BK7" s="619"/>
      <c r="BL7" s="619"/>
      <c r="BM7" s="619"/>
      <c r="BN7" s="619"/>
      <c r="BO7" s="619"/>
      <c r="BP7" s="619"/>
      <c r="BQ7" s="619"/>
      <c r="BR7" s="619"/>
      <c r="BS7" s="619"/>
      <c r="BT7" s="619"/>
      <c r="BU7" s="619"/>
      <c r="BV7" s="619"/>
      <c r="BW7" s="619"/>
      <c r="BX7" s="619"/>
      <c r="BY7" s="619"/>
      <c r="BZ7" s="619"/>
      <c r="CA7" s="619"/>
      <c r="CB7" s="619"/>
      <c r="CC7" s="619"/>
      <c r="CD7" s="619"/>
      <c r="CE7" s="619"/>
      <c r="CF7" s="619"/>
      <c r="CG7" s="619"/>
      <c r="CH7" s="619"/>
      <c r="CI7" s="619"/>
      <c r="CJ7" s="619"/>
      <c r="CK7" s="619"/>
      <c r="CL7" s="619"/>
      <c r="CM7" s="619"/>
      <c r="CN7" s="619"/>
      <c r="CO7" s="619"/>
      <c r="CP7" s="619"/>
      <c r="CQ7" s="619"/>
      <c r="CR7" s="619"/>
      <c r="CS7" s="619"/>
      <c r="CT7" s="619"/>
      <c r="CU7" s="619"/>
      <c r="CV7" s="619"/>
      <c r="CW7" s="619"/>
      <c r="CX7" s="619"/>
      <c r="CY7" s="619"/>
      <c r="CZ7" s="619"/>
      <c r="DA7" s="620"/>
      <c r="DB7" s="14"/>
    </row>
    <row r="8" spans="1:106" ht="160.5" customHeight="1" x14ac:dyDescent="0.2">
      <c r="A8" s="400" t="s">
        <v>57</v>
      </c>
      <c r="B8" s="401" t="s">
        <v>185</v>
      </c>
      <c r="C8" s="188" t="s">
        <v>4</v>
      </c>
      <c r="D8" s="494">
        <f>D9/D10*100</f>
        <v>0</v>
      </c>
      <c r="E8" s="419">
        <v>0.8</v>
      </c>
      <c r="F8" s="495">
        <f t="shared" ref="F8:F13" si="2">E8-D8</f>
        <v>0.8</v>
      </c>
      <c r="G8" s="420"/>
      <c r="H8" s="237">
        <f>H9/H10*100</f>
        <v>0</v>
      </c>
      <c r="I8" s="237">
        <f>I9/I10*100</f>
        <v>0</v>
      </c>
      <c r="J8" s="279">
        <f t="shared" ref="J8:J13" si="3">I8-H8</f>
        <v>0</v>
      </c>
      <c r="K8" s="317"/>
      <c r="L8" s="189">
        <f t="shared" ref="L8:CW8" si="4">L9/L10*100</f>
        <v>0</v>
      </c>
      <c r="M8" s="319"/>
      <c r="N8" s="189">
        <f t="shared" ref="N8:N13" si="5">M8-L8</f>
        <v>0</v>
      </c>
      <c r="O8" s="419"/>
      <c r="P8" s="319">
        <f t="shared" si="4"/>
        <v>0</v>
      </c>
      <c r="Q8" s="319">
        <v>2.46</v>
      </c>
      <c r="R8" s="306">
        <f>Q8-P8</f>
        <v>2.46</v>
      </c>
      <c r="S8" s="621" t="s">
        <v>277</v>
      </c>
      <c r="T8" s="279">
        <f t="shared" si="4"/>
        <v>0</v>
      </c>
      <c r="U8" s="237">
        <f t="shared" si="4"/>
        <v>0</v>
      </c>
      <c r="V8" s="318">
        <v>2.7</v>
      </c>
      <c r="W8" s="318">
        <f t="shared" ref="W8:W13" si="6">V8-U8</f>
        <v>2.7</v>
      </c>
      <c r="X8" s="279"/>
      <c r="Y8" s="237">
        <f>Y9/Y10*100</f>
        <v>0</v>
      </c>
      <c r="Z8" s="237">
        <f>Z9/Z10*100</f>
        <v>2.6923076923076925</v>
      </c>
      <c r="AA8" s="318">
        <f t="shared" ref="AA8:AA13" si="7">Z8-Y8</f>
        <v>2.6923076923076925</v>
      </c>
      <c r="AB8" s="279"/>
      <c r="AC8" s="237">
        <v>0</v>
      </c>
      <c r="AD8" s="318"/>
      <c r="AE8" s="318">
        <f t="shared" ref="AE8:AE13" si="8">AD8-AC8</f>
        <v>0</v>
      </c>
      <c r="AF8" s="279"/>
      <c r="AG8" s="421">
        <f t="shared" si="4"/>
        <v>0</v>
      </c>
      <c r="AH8" s="318">
        <v>51.9</v>
      </c>
      <c r="AI8" s="384">
        <f>AH8-AG8</f>
        <v>51.9</v>
      </c>
      <c r="AJ8" s="623" t="s">
        <v>276</v>
      </c>
      <c r="AK8" s="279">
        <f t="shared" si="4"/>
        <v>0</v>
      </c>
      <c r="AL8" s="237">
        <f t="shared" si="4"/>
        <v>0</v>
      </c>
      <c r="AM8" s="318">
        <v>0</v>
      </c>
      <c r="AN8" s="318">
        <f t="shared" ref="AN8:AN13" si="9">AM8-AL8</f>
        <v>0</v>
      </c>
      <c r="AO8" s="279"/>
      <c r="AP8" s="237">
        <f>AP9/AP10*100</f>
        <v>0</v>
      </c>
      <c r="AQ8" s="237">
        <f>AQ9/AQ10*100</f>
        <v>0</v>
      </c>
      <c r="AR8" s="279">
        <f t="shared" ref="AR8:AR13" si="10">AQ8-AP8</f>
        <v>0</v>
      </c>
      <c r="AS8" s="317"/>
      <c r="AT8" s="237">
        <v>0</v>
      </c>
      <c r="AU8" s="318"/>
      <c r="AV8" s="384">
        <f t="shared" ref="AV8:AV13" si="11">AU8-AT8</f>
        <v>0</v>
      </c>
      <c r="AW8" s="422"/>
      <c r="AX8" s="385">
        <f t="shared" si="4"/>
        <v>0</v>
      </c>
      <c r="AY8" s="250">
        <v>0</v>
      </c>
      <c r="AZ8" s="403">
        <f>AY8-AX8</f>
        <v>0</v>
      </c>
      <c r="BA8" s="404"/>
      <c r="BB8" s="317">
        <f t="shared" si="4"/>
        <v>0</v>
      </c>
      <c r="BC8" s="237">
        <f t="shared" si="4"/>
        <v>0</v>
      </c>
      <c r="BD8" s="318">
        <v>1.02</v>
      </c>
      <c r="BE8" s="318">
        <f t="shared" ref="BE8:BE13" si="12">BD8-BC8</f>
        <v>1.02</v>
      </c>
      <c r="BF8" s="279"/>
      <c r="BG8" s="237">
        <f>BG9/BG10*100</f>
        <v>0</v>
      </c>
      <c r="BH8" s="237">
        <f>BH9/BH10*100</f>
        <v>0</v>
      </c>
      <c r="BI8" s="318">
        <f t="shared" ref="BI8:BI13" si="13">BH8-BG8</f>
        <v>0</v>
      </c>
      <c r="BJ8" s="279"/>
      <c r="BK8" s="237">
        <v>0</v>
      </c>
      <c r="BL8" s="318"/>
      <c r="BM8" s="318">
        <f t="shared" ref="BM8:BM13" si="14">BL8-BK8</f>
        <v>0</v>
      </c>
      <c r="BN8" s="279"/>
      <c r="BO8" s="318">
        <f t="shared" si="4"/>
        <v>0</v>
      </c>
      <c r="BP8" s="384">
        <v>0</v>
      </c>
      <c r="BQ8" s="384">
        <f>BP8-BO8</f>
        <v>0</v>
      </c>
      <c r="BR8" s="404"/>
      <c r="BS8" s="317">
        <f t="shared" si="4"/>
        <v>0</v>
      </c>
      <c r="BT8" s="237">
        <f t="shared" si="4"/>
        <v>0</v>
      </c>
      <c r="BU8" s="318">
        <v>0</v>
      </c>
      <c r="BV8" s="318">
        <f t="shared" ref="BV8:BV13" si="15">BU8-BT8</f>
        <v>0</v>
      </c>
      <c r="BW8" s="279"/>
      <c r="BX8" s="237">
        <f>BX9/BX10*100</f>
        <v>0</v>
      </c>
      <c r="BY8" s="237">
        <f>BY9/BY10*100</f>
        <v>0.6097560975609756</v>
      </c>
      <c r="BZ8" s="318">
        <f t="shared" ref="BZ8:BZ13" si="16">BY8-BX8</f>
        <v>0.6097560975609756</v>
      </c>
      <c r="CA8" s="279"/>
      <c r="CB8" s="237">
        <f t="shared" si="4"/>
        <v>0</v>
      </c>
      <c r="CC8" s="318"/>
      <c r="CD8" s="318">
        <f t="shared" ref="CD8:CD13" si="17">CC8-CB8</f>
        <v>0</v>
      </c>
      <c r="CE8" s="279"/>
      <c r="CF8" s="289">
        <v>0</v>
      </c>
      <c r="CG8" s="405">
        <v>19.350000000000001</v>
      </c>
      <c r="CH8" s="384">
        <f>CG8-CF8</f>
        <v>19.350000000000001</v>
      </c>
      <c r="CI8" s="500" t="s">
        <v>274</v>
      </c>
      <c r="CJ8" s="406">
        <f t="shared" si="4"/>
        <v>0</v>
      </c>
      <c r="CK8" s="421">
        <f t="shared" si="4"/>
        <v>0</v>
      </c>
      <c r="CL8" s="318">
        <v>0</v>
      </c>
      <c r="CM8" s="318">
        <f t="shared" ref="CM8:CM13" si="18">CL8-CK8</f>
        <v>0</v>
      </c>
      <c r="CN8" s="318"/>
      <c r="CO8" s="318">
        <f>CO9/CO10*100</f>
        <v>0</v>
      </c>
      <c r="CP8" s="237">
        <f>CP9/CP10*100</f>
        <v>0</v>
      </c>
      <c r="CQ8" s="318">
        <f t="shared" ref="CQ8:CQ13" si="19">CP8-CO8</f>
        <v>0</v>
      </c>
      <c r="CR8" s="279"/>
      <c r="CS8" s="318">
        <f t="shared" si="4"/>
        <v>0</v>
      </c>
      <c r="CT8" s="318"/>
      <c r="CU8" s="318">
        <f t="shared" ref="CU8:CU13" si="20">CT8-CS8</f>
        <v>0</v>
      </c>
      <c r="CV8" s="279"/>
      <c r="CW8" s="384">
        <f t="shared" si="4"/>
        <v>0</v>
      </c>
      <c r="CX8" s="318">
        <v>0</v>
      </c>
      <c r="CY8" s="384">
        <f>CX8-CW8</f>
        <v>0</v>
      </c>
      <c r="CZ8" s="404"/>
      <c r="DA8" s="407">
        <f>2/296%</f>
        <v>0.67567567567567566</v>
      </c>
      <c r="DB8" s="14"/>
    </row>
    <row r="9" spans="1:106" ht="68.25" customHeight="1" x14ac:dyDescent="0.2">
      <c r="A9" s="408" t="s">
        <v>30</v>
      </c>
      <c r="B9" s="409" t="s">
        <v>52</v>
      </c>
      <c r="C9" s="187" t="s">
        <v>54</v>
      </c>
      <c r="D9" s="311">
        <v>0</v>
      </c>
      <c r="E9" s="410">
        <v>12</v>
      </c>
      <c r="F9" s="411">
        <f t="shared" si="2"/>
        <v>12</v>
      </c>
      <c r="G9" s="304" t="s">
        <v>194</v>
      </c>
      <c r="H9" s="240">
        <v>0</v>
      </c>
      <c r="I9" s="240">
        <v>0</v>
      </c>
      <c r="J9" s="273">
        <f t="shared" si="3"/>
        <v>0</v>
      </c>
      <c r="K9" s="241"/>
      <c r="L9" s="190">
        <v>0</v>
      </c>
      <c r="M9" s="190"/>
      <c r="N9" s="190">
        <f t="shared" si="5"/>
        <v>0</v>
      </c>
      <c r="O9" s="304"/>
      <c r="P9" s="190">
        <v>0</v>
      </c>
      <c r="Q9" s="190">
        <v>8</v>
      </c>
      <c r="R9" s="306">
        <f>Q9-P9</f>
        <v>8</v>
      </c>
      <c r="S9" s="622"/>
      <c r="T9" s="273">
        <v>0</v>
      </c>
      <c r="U9" s="240">
        <v>0</v>
      </c>
      <c r="V9" s="240">
        <v>9</v>
      </c>
      <c r="W9" s="240">
        <f t="shared" si="6"/>
        <v>9</v>
      </c>
      <c r="X9" s="241" t="s">
        <v>194</v>
      </c>
      <c r="Y9" s="240">
        <v>0</v>
      </c>
      <c r="Z9" s="240">
        <v>7</v>
      </c>
      <c r="AA9" s="240">
        <f t="shared" si="7"/>
        <v>7</v>
      </c>
      <c r="AB9" s="241" t="s">
        <v>194</v>
      </c>
      <c r="AC9" s="240">
        <v>0</v>
      </c>
      <c r="AD9" s="240"/>
      <c r="AE9" s="240">
        <f t="shared" si="8"/>
        <v>0</v>
      </c>
      <c r="AF9" s="241"/>
      <c r="AG9" s="391">
        <v>0</v>
      </c>
      <c r="AH9" s="240">
        <v>40</v>
      </c>
      <c r="AI9" s="384">
        <f>AH9-AG9</f>
        <v>40</v>
      </c>
      <c r="AJ9" s="624"/>
      <c r="AK9" s="273">
        <v>0</v>
      </c>
      <c r="AL9" s="240">
        <v>0</v>
      </c>
      <c r="AM9" s="240">
        <v>0</v>
      </c>
      <c r="AN9" s="240">
        <f t="shared" si="9"/>
        <v>0</v>
      </c>
      <c r="AO9" s="272"/>
      <c r="AP9" s="240">
        <v>0</v>
      </c>
      <c r="AQ9" s="240">
        <v>0</v>
      </c>
      <c r="AR9" s="273">
        <f t="shared" si="10"/>
        <v>0</v>
      </c>
      <c r="AS9" s="272"/>
      <c r="AT9" s="240">
        <v>0</v>
      </c>
      <c r="AU9" s="240"/>
      <c r="AV9" s="273">
        <f t="shared" si="11"/>
        <v>0</v>
      </c>
      <c r="AW9" s="272"/>
      <c r="AX9" s="391">
        <v>0</v>
      </c>
      <c r="AY9" s="240">
        <v>0</v>
      </c>
      <c r="AZ9" s="384">
        <f>AY9-AX9</f>
        <v>0</v>
      </c>
      <c r="BA9" s="412"/>
      <c r="BB9" s="272">
        <v>0</v>
      </c>
      <c r="BC9" s="240">
        <v>0</v>
      </c>
      <c r="BD9" s="240">
        <v>4</v>
      </c>
      <c r="BE9" s="240">
        <f t="shared" si="12"/>
        <v>4</v>
      </c>
      <c r="BF9" s="241" t="s">
        <v>195</v>
      </c>
      <c r="BG9" s="240">
        <v>0</v>
      </c>
      <c r="BH9" s="240">
        <v>0</v>
      </c>
      <c r="BI9" s="240">
        <f t="shared" si="13"/>
        <v>0</v>
      </c>
      <c r="BJ9" s="241"/>
      <c r="BK9" s="240">
        <v>0</v>
      </c>
      <c r="BL9" s="240"/>
      <c r="BM9" s="240">
        <f t="shared" si="14"/>
        <v>0</v>
      </c>
      <c r="BN9" s="241"/>
      <c r="BO9" s="240">
        <v>0</v>
      </c>
      <c r="BP9" s="240">
        <v>0</v>
      </c>
      <c r="BQ9" s="384">
        <f>BP9-BO9</f>
        <v>0</v>
      </c>
      <c r="BR9" s="412"/>
      <c r="BS9" s="272">
        <v>0</v>
      </c>
      <c r="BT9" s="240">
        <v>0</v>
      </c>
      <c r="BU9" s="240">
        <v>0</v>
      </c>
      <c r="BV9" s="240">
        <f t="shared" si="15"/>
        <v>0</v>
      </c>
      <c r="BW9" s="272"/>
      <c r="BX9" s="240">
        <v>0</v>
      </c>
      <c r="BY9" s="240">
        <v>1</v>
      </c>
      <c r="BZ9" s="240">
        <f t="shared" si="16"/>
        <v>1</v>
      </c>
      <c r="CA9" s="241"/>
      <c r="CB9" s="240">
        <v>0</v>
      </c>
      <c r="CC9" s="240"/>
      <c r="CD9" s="240">
        <f t="shared" si="17"/>
        <v>0</v>
      </c>
      <c r="CE9" s="241"/>
      <c r="CF9" s="288">
        <f>CC9</f>
        <v>0</v>
      </c>
      <c r="CG9" s="413">
        <v>6</v>
      </c>
      <c r="CH9" s="384">
        <f>CG9-CF9</f>
        <v>6</v>
      </c>
      <c r="CI9" s="501" t="str">
        <f>CI8</f>
        <v>Контроль за состоянием воды в паводковый период</v>
      </c>
      <c r="CJ9" s="413">
        <v>0</v>
      </c>
      <c r="CK9" s="391">
        <v>0</v>
      </c>
      <c r="CL9" s="240">
        <v>0</v>
      </c>
      <c r="CM9" s="240">
        <f t="shared" si="18"/>
        <v>0</v>
      </c>
      <c r="CN9" s="240"/>
      <c r="CO9" s="288">
        <v>0</v>
      </c>
      <c r="CP9" s="240">
        <v>0</v>
      </c>
      <c r="CQ9" s="288">
        <f t="shared" si="19"/>
        <v>0</v>
      </c>
      <c r="CR9" s="285"/>
      <c r="CS9" s="288">
        <v>0</v>
      </c>
      <c r="CT9" s="288"/>
      <c r="CU9" s="288">
        <f t="shared" si="20"/>
        <v>0</v>
      </c>
      <c r="CV9" s="414"/>
      <c r="CW9" s="391">
        <v>0</v>
      </c>
      <c r="CX9" s="288">
        <v>0</v>
      </c>
      <c r="CY9" s="384">
        <f>CX9-CW9</f>
        <v>0</v>
      </c>
      <c r="CZ9" s="412"/>
      <c r="DA9" s="415">
        <v>0</v>
      </c>
      <c r="DB9" s="14"/>
    </row>
    <row r="10" spans="1:106" ht="156.75" customHeight="1" x14ac:dyDescent="0.2">
      <c r="A10" s="408" t="s">
        <v>31</v>
      </c>
      <c r="B10" s="409" t="s">
        <v>53</v>
      </c>
      <c r="C10" s="187" t="s">
        <v>54</v>
      </c>
      <c r="D10" s="311">
        <v>1348</v>
      </c>
      <c r="E10" s="410">
        <v>1506</v>
      </c>
      <c r="F10" s="411">
        <f t="shared" si="2"/>
        <v>158</v>
      </c>
      <c r="G10" s="304" t="s">
        <v>215</v>
      </c>
      <c r="H10" s="240">
        <v>1348</v>
      </c>
      <c r="I10" s="240">
        <v>1282</v>
      </c>
      <c r="J10" s="273">
        <f t="shared" si="3"/>
        <v>-66</v>
      </c>
      <c r="K10" s="241" t="s">
        <v>234</v>
      </c>
      <c r="L10" s="190">
        <v>1348</v>
      </c>
      <c r="M10" s="190"/>
      <c r="N10" s="190">
        <f t="shared" si="5"/>
        <v>-1348</v>
      </c>
      <c r="O10" s="304"/>
      <c r="P10" s="190">
        <v>1348</v>
      </c>
      <c r="Q10" s="190">
        <v>325</v>
      </c>
      <c r="R10" s="306">
        <f>Q10-P10</f>
        <v>-1023</v>
      </c>
      <c r="S10" s="391" t="s">
        <v>270</v>
      </c>
      <c r="T10" s="273">
        <v>1348</v>
      </c>
      <c r="U10" s="240">
        <v>469</v>
      </c>
      <c r="V10" s="240">
        <v>338</v>
      </c>
      <c r="W10" s="240">
        <f t="shared" si="6"/>
        <v>-131</v>
      </c>
      <c r="X10" s="241" t="s">
        <v>196</v>
      </c>
      <c r="Y10" s="240">
        <v>469</v>
      </c>
      <c r="Z10" s="240">
        <v>260</v>
      </c>
      <c r="AA10" s="240">
        <f t="shared" si="7"/>
        <v>-209</v>
      </c>
      <c r="AB10" s="241" t="s">
        <v>196</v>
      </c>
      <c r="AC10" s="240">
        <v>469</v>
      </c>
      <c r="AD10" s="240"/>
      <c r="AE10" s="240">
        <f t="shared" si="8"/>
        <v>-469</v>
      </c>
      <c r="AF10" s="241"/>
      <c r="AG10" s="391">
        <v>469</v>
      </c>
      <c r="AH10" s="240">
        <v>77</v>
      </c>
      <c r="AI10" s="384">
        <f>AH10-AG10</f>
        <v>-392</v>
      </c>
      <c r="AJ10" s="391" t="s">
        <v>270</v>
      </c>
      <c r="AK10" s="273">
        <v>469</v>
      </c>
      <c r="AL10" s="240">
        <v>80</v>
      </c>
      <c r="AM10" s="240">
        <v>188</v>
      </c>
      <c r="AN10" s="240">
        <f t="shared" si="9"/>
        <v>108</v>
      </c>
      <c r="AO10" s="272"/>
      <c r="AP10" s="240">
        <v>80</v>
      </c>
      <c r="AQ10" s="240">
        <v>176</v>
      </c>
      <c r="AR10" s="273">
        <f t="shared" si="10"/>
        <v>96</v>
      </c>
      <c r="AS10" s="272"/>
      <c r="AT10" s="240">
        <v>80</v>
      </c>
      <c r="AU10" s="240"/>
      <c r="AV10" s="273">
        <f t="shared" si="11"/>
        <v>-80</v>
      </c>
      <c r="AW10" s="272"/>
      <c r="AX10" s="391">
        <v>80</v>
      </c>
      <c r="AY10" s="240">
        <v>29</v>
      </c>
      <c r="AZ10" s="384">
        <f>AY10-AX10</f>
        <v>-51</v>
      </c>
      <c r="BA10" s="412" t="s">
        <v>270</v>
      </c>
      <c r="BB10" s="272">
        <v>80</v>
      </c>
      <c r="BC10" s="240">
        <v>200</v>
      </c>
      <c r="BD10" s="240">
        <v>391</v>
      </c>
      <c r="BE10" s="240">
        <f t="shared" si="12"/>
        <v>191</v>
      </c>
      <c r="BF10" s="241" t="s">
        <v>197</v>
      </c>
      <c r="BG10" s="240">
        <v>200</v>
      </c>
      <c r="BH10" s="240">
        <v>352</v>
      </c>
      <c r="BI10" s="240">
        <f t="shared" si="13"/>
        <v>152</v>
      </c>
      <c r="BJ10" s="241" t="s">
        <v>239</v>
      </c>
      <c r="BK10" s="240">
        <v>200</v>
      </c>
      <c r="BL10" s="240"/>
      <c r="BM10" s="240">
        <f t="shared" si="14"/>
        <v>-200</v>
      </c>
      <c r="BN10" s="241"/>
      <c r="BO10" s="240">
        <v>200</v>
      </c>
      <c r="BP10" s="240">
        <v>58</v>
      </c>
      <c r="BQ10" s="384">
        <f>BP10-BO10</f>
        <v>-142</v>
      </c>
      <c r="BR10" s="412" t="s">
        <v>270</v>
      </c>
      <c r="BS10" s="272">
        <v>200</v>
      </c>
      <c r="BT10" s="240">
        <v>80</v>
      </c>
      <c r="BU10" s="240">
        <v>175</v>
      </c>
      <c r="BV10" s="240">
        <f t="shared" si="15"/>
        <v>95</v>
      </c>
      <c r="BW10" s="272" t="s">
        <v>198</v>
      </c>
      <c r="BX10" s="240">
        <v>80</v>
      </c>
      <c r="BY10" s="240">
        <v>164</v>
      </c>
      <c r="BZ10" s="240">
        <f t="shared" si="16"/>
        <v>84</v>
      </c>
      <c r="CA10" s="241" t="s">
        <v>242</v>
      </c>
      <c r="CB10" s="240">
        <v>80</v>
      </c>
      <c r="CC10" s="240"/>
      <c r="CD10" s="240">
        <f t="shared" si="17"/>
        <v>-80</v>
      </c>
      <c r="CE10" s="241"/>
      <c r="CF10" s="286">
        <v>80</v>
      </c>
      <c r="CG10" s="416">
        <v>31</v>
      </c>
      <c r="CH10" s="384">
        <f>CG10-CF10</f>
        <v>-49</v>
      </c>
      <c r="CI10" s="412" t="s">
        <v>271</v>
      </c>
      <c r="CJ10" s="413">
        <v>80</v>
      </c>
      <c r="CK10" s="417">
        <v>68</v>
      </c>
      <c r="CL10" s="388">
        <v>188</v>
      </c>
      <c r="CM10" s="288">
        <f t="shared" si="18"/>
        <v>120</v>
      </c>
      <c r="CN10" s="388"/>
      <c r="CO10" s="288">
        <v>68</v>
      </c>
      <c r="CP10" s="240">
        <v>176</v>
      </c>
      <c r="CQ10" s="288">
        <f t="shared" si="19"/>
        <v>108</v>
      </c>
      <c r="CR10" s="241" t="s">
        <v>242</v>
      </c>
      <c r="CS10" s="288">
        <v>68</v>
      </c>
      <c r="CT10" s="288"/>
      <c r="CU10" s="288">
        <f t="shared" si="20"/>
        <v>-68</v>
      </c>
      <c r="CV10" s="285"/>
      <c r="CW10" s="388">
        <v>68</v>
      </c>
      <c r="CX10" s="288">
        <v>29</v>
      </c>
      <c r="CY10" s="384">
        <f>CX10-CW10</f>
        <v>-39</v>
      </c>
      <c r="CZ10" s="412" t="s">
        <v>270</v>
      </c>
      <c r="DA10" s="415">
        <v>68</v>
      </c>
      <c r="DB10" s="14"/>
    </row>
    <row r="11" spans="1:106" s="4" customFormat="1" ht="85.5" customHeight="1" x14ac:dyDescent="0.2">
      <c r="A11" s="408" t="s">
        <v>58</v>
      </c>
      <c r="B11" s="401" t="s">
        <v>51</v>
      </c>
      <c r="C11" s="188" t="s">
        <v>4</v>
      </c>
      <c r="D11" s="418">
        <f t="shared" ref="D11:DA11" si="21">D12/D13*100</f>
        <v>4.6916890080428955</v>
      </c>
      <c r="E11" s="419">
        <v>4.3999999999999997E-2</v>
      </c>
      <c r="F11" s="420">
        <f t="shared" si="2"/>
        <v>-4.6476890080428959</v>
      </c>
      <c r="G11" s="315" t="s">
        <v>216</v>
      </c>
      <c r="H11" s="237">
        <f>H12/H13*100</f>
        <v>4.0214477211796247</v>
      </c>
      <c r="I11" s="237">
        <f>I12/I13*100</f>
        <v>0</v>
      </c>
      <c r="J11" s="279">
        <f t="shared" si="3"/>
        <v>-4.0214477211796247</v>
      </c>
      <c r="K11" s="316"/>
      <c r="L11" s="189">
        <v>3.3512064343163539</v>
      </c>
      <c r="M11" s="189"/>
      <c r="N11" s="189">
        <f t="shared" si="5"/>
        <v>-3.3512064343163539</v>
      </c>
      <c r="O11" s="315"/>
      <c r="P11" s="319">
        <f t="shared" si="21"/>
        <v>2.6809651474530831</v>
      </c>
      <c r="Q11" s="306">
        <v>7.77</v>
      </c>
      <c r="R11" s="306">
        <f t="shared" ref="R11:R13" si="22">Q11-P11</f>
        <v>5.0890348525469165</v>
      </c>
      <c r="S11" s="621" t="str">
        <f>S8</f>
        <v xml:space="preserve">Необходимость контроля в связи с попаданием в источник водозабора загрязнений (не предусмотренных технологией очистки ВОС) в следствии проведения буровых работ в непосредственной близости от водохранилища. </v>
      </c>
      <c r="T11" s="279">
        <f t="shared" si="21"/>
        <v>2.0107238605898123</v>
      </c>
      <c r="U11" s="237">
        <f t="shared" si="21"/>
        <v>1.5625</v>
      </c>
      <c r="V11" s="318">
        <v>2.5</v>
      </c>
      <c r="W11" s="237">
        <f t="shared" si="6"/>
        <v>0.9375</v>
      </c>
      <c r="X11" s="340"/>
      <c r="Y11" s="237">
        <f>Y12/Y13*100</f>
        <v>1.0416666666666665</v>
      </c>
      <c r="Z11" s="237">
        <f>Z12/Z13*100</f>
        <v>3.5087719298245612</v>
      </c>
      <c r="AA11" s="237">
        <f t="shared" si="7"/>
        <v>2.4671052631578947</v>
      </c>
      <c r="AB11" s="340"/>
      <c r="AC11" s="237">
        <v>0.52083333333333326</v>
      </c>
      <c r="AD11" s="318"/>
      <c r="AE11" s="237">
        <f t="shared" si="8"/>
        <v>-0.52083333333333326</v>
      </c>
      <c r="AF11" s="340"/>
      <c r="AG11" s="421">
        <f t="shared" si="21"/>
        <v>0</v>
      </c>
      <c r="AH11" s="318">
        <v>51.75</v>
      </c>
      <c r="AI11" s="384">
        <f t="shared" ref="AI11:AI13" si="23">AH11-AG11</f>
        <v>51.75</v>
      </c>
      <c r="AJ11" s="623" t="s">
        <v>276</v>
      </c>
      <c r="AK11" s="279">
        <f t="shared" si="21"/>
        <v>0</v>
      </c>
      <c r="AL11" s="237">
        <f t="shared" si="21"/>
        <v>0</v>
      </c>
      <c r="AM11" s="318">
        <v>0</v>
      </c>
      <c r="AN11" s="237">
        <f t="shared" si="9"/>
        <v>0</v>
      </c>
      <c r="AO11" s="279"/>
      <c r="AP11" s="237">
        <f>AP12/AP13*100</f>
        <v>0</v>
      </c>
      <c r="AQ11" s="237">
        <f>AQ12/AQ13*100</f>
        <v>0</v>
      </c>
      <c r="AR11" s="279">
        <f t="shared" si="10"/>
        <v>0</v>
      </c>
      <c r="AS11" s="317"/>
      <c r="AT11" s="237">
        <v>0</v>
      </c>
      <c r="AU11" s="318"/>
      <c r="AV11" s="279">
        <f t="shared" si="11"/>
        <v>0</v>
      </c>
      <c r="AW11" s="317"/>
      <c r="AX11" s="421">
        <f t="shared" si="21"/>
        <v>0</v>
      </c>
      <c r="AY11" s="318">
        <v>0</v>
      </c>
      <c r="AZ11" s="384">
        <f t="shared" ref="AZ11:AZ13" si="24">AY11-AX11</f>
        <v>0</v>
      </c>
      <c r="BA11" s="422"/>
      <c r="BB11" s="317">
        <f t="shared" si="21"/>
        <v>0</v>
      </c>
      <c r="BC11" s="237">
        <f t="shared" si="21"/>
        <v>0</v>
      </c>
      <c r="BD11" s="318">
        <v>1.24</v>
      </c>
      <c r="BE11" s="237">
        <f t="shared" si="12"/>
        <v>1.24</v>
      </c>
      <c r="BF11" s="340"/>
      <c r="BG11" s="237">
        <f>BG12/BG13*100</f>
        <v>0</v>
      </c>
      <c r="BH11" s="237">
        <f>BH12/BH13*100</f>
        <v>0</v>
      </c>
      <c r="BI11" s="237">
        <f t="shared" si="13"/>
        <v>0</v>
      </c>
      <c r="BJ11" s="340"/>
      <c r="BK11" s="237">
        <v>0</v>
      </c>
      <c r="BL11" s="318"/>
      <c r="BM11" s="237">
        <f t="shared" si="14"/>
        <v>0</v>
      </c>
      <c r="BN11" s="340"/>
      <c r="BO11" s="318">
        <f t="shared" si="21"/>
        <v>0</v>
      </c>
      <c r="BP11" s="318">
        <v>0</v>
      </c>
      <c r="BQ11" s="384">
        <f t="shared" ref="BQ11:BQ13" si="25">BP11-BO11</f>
        <v>0</v>
      </c>
      <c r="BR11" s="422"/>
      <c r="BS11" s="317">
        <f t="shared" si="21"/>
        <v>0</v>
      </c>
      <c r="BT11" s="237">
        <f t="shared" si="21"/>
        <v>0</v>
      </c>
      <c r="BU11" s="318">
        <v>0</v>
      </c>
      <c r="BV11" s="237">
        <f t="shared" si="15"/>
        <v>0</v>
      </c>
      <c r="BW11" s="279"/>
      <c r="BX11" s="237">
        <f>BX12/BX13*100</f>
        <v>0</v>
      </c>
      <c r="BY11" s="237">
        <f>BY12/BY13*100</f>
        <v>0.28409090909090912</v>
      </c>
      <c r="BZ11" s="237">
        <f t="shared" si="16"/>
        <v>0.28409090909090912</v>
      </c>
      <c r="CA11" s="340"/>
      <c r="CB11" s="237">
        <f t="shared" si="21"/>
        <v>0</v>
      </c>
      <c r="CC11" s="318"/>
      <c r="CD11" s="237">
        <f t="shared" si="17"/>
        <v>0</v>
      </c>
      <c r="CE11" s="340"/>
      <c r="CF11" s="289">
        <f>CC11</f>
        <v>0</v>
      </c>
      <c r="CG11" s="405">
        <v>31.25</v>
      </c>
      <c r="CH11" s="384">
        <f t="shared" ref="CH11:CH13" si="26">CG11-CF11</f>
        <v>31.25</v>
      </c>
      <c r="CI11" s="625" t="s">
        <v>275</v>
      </c>
      <c r="CJ11" s="406">
        <f t="shared" si="21"/>
        <v>0</v>
      </c>
      <c r="CK11" s="421">
        <f t="shared" si="21"/>
        <v>0</v>
      </c>
      <c r="CL11" s="318">
        <v>0</v>
      </c>
      <c r="CM11" s="237">
        <f t="shared" si="18"/>
        <v>0</v>
      </c>
      <c r="CN11" s="318"/>
      <c r="CO11" s="318">
        <f>CO12/CO13*100</f>
        <v>0</v>
      </c>
      <c r="CP11" s="237">
        <f>CP12/CP13*100</f>
        <v>0</v>
      </c>
      <c r="CQ11" s="318">
        <f t="shared" si="19"/>
        <v>0</v>
      </c>
      <c r="CR11" s="340"/>
      <c r="CS11" s="318">
        <f t="shared" si="21"/>
        <v>0</v>
      </c>
      <c r="CT11" s="318"/>
      <c r="CU11" s="318">
        <f t="shared" si="20"/>
        <v>0</v>
      </c>
      <c r="CV11" s="340"/>
      <c r="CW11" s="384">
        <f t="shared" si="21"/>
        <v>0</v>
      </c>
      <c r="CX11" s="384">
        <v>0</v>
      </c>
      <c r="CY11" s="384">
        <f t="shared" ref="CY11:CY13" si="27">CX11-CW11</f>
        <v>0</v>
      </c>
      <c r="CZ11" s="422"/>
      <c r="DA11" s="423">
        <f t="shared" si="21"/>
        <v>0</v>
      </c>
      <c r="DB11" s="15"/>
    </row>
    <row r="12" spans="1:106" ht="130.5" customHeight="1" x14ac:dyDescent="0.2">
      <c r="A12" s="400" t="s">
        <v>32</v>
      </c>
      <c r="B12" s="409" t="s">
        <v>59</v>
      </c>
      <c r="C12" s="187" t="s">
        <v>54</v>
      </c>
      <c r="D12" s="424">
        <v>35</v>
      </c>
      <c r="E12" s="425">
        <v>1</v>
      </c>
      <c r="F12" s="411">
        <f t="shared" si="2"/>
        <v>-34</v>
      </c>
      <c r="G12" s="426"/>
      <c r="H12" s="240">
        <v>30</v>
      </c>
      <c r="I12" s="240">
        <v>0</v>
      </c>
      <c r="J12" s="273">
        <f t="shared" si="3"/>
        <v>-30</v>
      </c>
      <c r="K12" s="241"/>
      <c r="L12" s="192">
        <v>25</v>
      </c>
      <c r="M12" s="192"/>
      <c r="N12" s="190">
        <f t="shared" si="5"/>
        <v>-25</v>
      </c>
      <c r="O12" s="426"/>
      <c r="P12" s="427">
        <v>20</v>
      </c>
      <c r="Q12" s="427">
        <v>31</v>
      </c>
      <c r="R12" s="306">
        <f t="shared" si="22"/>
        <v>11</v>
      </c>
      <c r="S12" s="621"/>
      <c r="T12" s="273">
        <v>15</v>
      </c>
      <c r="U12" s="240">
        <v>3</v>
      </c>
      <c r="V12" s="288">
        <v>14</v>
      </c>
      <c r="W12" s="240">
        <f t="shared" si="6"/>
        <v>11</v>
      </c>
      <c r="X12" s="241" t="s">
        <v>194</v>
      </c>
      <c r="Y12" s="240">
        <v>2</v>
      </c>
      <c r="Z12" s="240">
        <v>12</v>
      </c>
      <c r="AA12" s="240">
        <f t="shared" si="7"/>
        <v>10</v>
      </c>
      <c r="AB12" s="241" t="s">
        <v>194</v>
      </c>
      <c r="AC12" s="240">
        <v>1</v>
      </c>
      <c r="AD12" s="288"/>
      <c r="AE12" s="240">
        <f t="shared" si="8"/>
        <v>-1</v>
      </c>
      <c r="AF12" s="241"/>
      <c r="AG12" s="391">
        <v>0</v>
      </c>
      <c r="AH12" s="288">
        <v>59</v>
      </c>
      <c r="AI12" s="384">
        <f t="shared" si="23"/>
        <v>59</v>
      </c>
      <c r="AJ12" s="624"/>
      <c r="AK12" s="273">
        <v>0</v>
      </c>
      <c r="AL12" s="240">
        <v>0</v>
      </c>
      <c r="AM12" s="288">
        <v>0</v>
      </c>
      <c r="AN12" s="240">
        <f t="shared" si="9"/>
        <v>0</v>
      </c>
      <c r="AO12" s="273"/>
      <c r="AP12" s="240">
        <v>0</v>
      </c>
      <c r="AQ12" s="240">
        <v>0</v>
      </c>
      <c r="AR12" s="273">
        <f t="shared" si="10"/>
        <v>0</v>
      </c>
      <c r="AS12" s="272"/>
      <c r="AT12" s="240">
        <v>0</v>
      </c>
      <c r="AU12" s="288"/>
      <c r="AV12" s="273">
        <f t="shared" si="11"/>
        <v>0</v>
      </c>
      <c r="AW12" s="272"/>
      <c r="AX12" s="391">
        <v>0</v>
      </c>
      <c r="AY12" s="288">
        <v>0</v>
      </c>
      <c r="AZ12" s="384">
        <f t="shared" si="24"/>
        <v>0</v>
      </c>
      <c r="BA12" s="412"/>
      <c r="BB12" s="272">
        <v>0</v>
      </c>
      <c r="BC12" s="240">
        <v>0</v>
      </c>
      <c r="BD12" s="288">
        <v>6</v>
      </c>
      <c r="BE12" s="240">
        <f t="shared" si="12"/>
        <v>6</v>
      </c>
      <c r="BF12" s="241" t="s">
        <v>195</v>
      </c>
      <c r="BG12" s="240">
        <v>0</v>
      </c>
      <c r="BH12" s="240">
        <v>0</v>
      </c>
      <c r="BI12" s="240">
        <f t="shared" si="13"/>
        <v>0</v>
      </c>
      <c r="BJ12" s="241"/>
      <c r="BK12" s="240">
        <v>0</v>
      </c>
      <c r="BL12" s="288"/>
      <c r="BM12" s="240">
        <f t="shared" si="14"/>
        <v>0</v>
      </c>
      <c r="BN12" s="241"/>
      <c r="BO12" s="288">
        <v>0</v>
      </c>
      <c r="BP12" s="288">
        <v>0</v>
      </c>
      <c r="BQ12" s="384">
        <f t="shared" si="25"/>
        <v>0</v>
      </c>
      <c r="BR12" s="412"/>
      <c r="BS12" s="272">
        <v>0</v>
      </c>
      <c r="BT12" s="240">
        <v>0</v>
      </c>
      <c r="BU12" s="288">
        <v>0</v>
      </c>
      <c r="BV12" s="240">
        <f t="shared" si="15"/>
        <v>0</v>
      </c>
      <c r="BW12" s="273"/>
      <c r="BX12" s="240">
        <f>BT12</f>
        <v>0</v>
      </c>
      <c r="BY12" s="240">
        <v>1</v>
      </c>
      <c r="BZ12" s="240">
        <f t="shared" si="16"/>
        <v>1</v>
      </c>
      <c r="CA12" s="285"/>
      <c r="CB12" s="240">
        <f>BT12</f>
        <v>0</v>
      </c>
      <c r="CC12" s="288"/>
      <c r="CD12" s="240">
        <f t="shared" si="17"/>
        <v>0</v>
      </c>
      <c r="CE12" s="241"/>
      <c r="CF12" s="428">
        <f>CC12</f>
        <v>0</v>
      </c>
      <c r="CG12" s="429">
        <v>15</v>
      </c>
      <c r="CH12" s="384">
        <f t="shared" si="26"/>
        <v>15</v>
      </c>
      <c r="CI12" s="626"/>
      <c r="CJ12" s="413">
        <f>BT12</f>
        <v>0</v>
      </c>
      <c r="CK12" s="391">
        <v>0</v>
      </c>
      <c r="CL12" s="288">
        <v>0</v>
      </c>
      <c r="CM12" s="240">
        <f t="shared" si="18"/>
        <v>0</v>
      </c>
      <c r="CN12" s="288"/>
      <c r="CO12" s="288">
        <f>CK12</f>
        <v>0</v>
      </c>
      <c r="CP12" s="240">
        <v>0</v>
      </c>
      <c r="CQ12" s="288">
        <f t="shared" si="19"/>
        <v>0</v>
      </c>
      <c r="CR12" s="285"/>
      <c r="CS12" s="288">
        <f>CK12</f>
        <v>0</v>
      </c>
      <c r="CT12" s="288"/>
      <c r="CU12" s="288">
        <f t="shared" si="20"/>
        <v>0</v>
      </c>
      <c r="CV12" s="285"/>
      <c r="CW12" s="288">
        <f>CK12</f>
        <v>0</v>
      </c>
      <c r="CX12" s="388">
        <v>0</v>
      </c>
      <c r="CY12" s="384">
        <f t="shared" si="27"/>
        <v>0</v>
      </c>
      <c r="CZ12" s="412"/>
      <c r="DA12" s="415">
        <f>CK12</f>
        <v>0</v>
      </c>
      <c r="DB12" s="14"/>
    </row>
    <row r="13" spans="1:106" ht="156" customHeight="1" x14ac:dyDescent="0.2">
      <c r="A13" s="430" t="s">
        <v>56</v>
      </c>
      <c r="B13" s="431" t="s">
        <v>53</v>
      </c>
      <c r="C13" s="332" t="s">
        <v>54</v>
      </c>
      <c r="D13" s="432">
        <v>746</v>
      </c>
      <c r="E13" s="433">
        <v>2247</v>
      </c>
      <c r="F13" s="434">
        <f t="shared" si="2"/>
        <v>1501</v>
      </c>
      <c r="G13" s="304" t="s">
        <v>217</v>
      </c>
      <c r="H13" s="240">
        <f>D13</f>
        <v>746</v>
      </c>
      <c r="I13" s="242">
        <v>1894</v>
      </c>
      <c r="J13" s="275">
        <f t="shared" si="3"/>
        <v>1148</v>
      </c>
      <c r="K13" s="241" t="s">
        <v>235</v>
      </c>
      <c r="L13" s="192">
        <f>D13</f>
        <v>746</v>
      </c>
      <c r="M13" s="435"/>
      <c r="N13" s="435">
        <f t="shared" si="5"/>
        <v>-746</v>
      </c>
      <c r="O13" s="304"/>
      <c r="P13" s="427">
        <f>D13</f>
        <v>746</v>
      </c>
      <c r="Q13" s="427">
        <v>399</v>
      </c>
      <c r="R13" s="306">
        <f t="shared" si="22"/>
        <v>-347</v>
      </c>
      <c r="S13" s="436" t="s">
        <v>270</v>
      </c>
      <c r="T13" s="437">
        <f>D13</f>
        <v>746</v>
      </c>
      <c r="U13" s="438">
        <v>192</v>
      </c>
      <c r="V13" s="261">
        <v>564</v>
      </c>
      <c r="W13" s="261">
        <f t="shared" si="6"/>
        <v>372</v>
      </c>
      <c r="X13" s="439" t="s">
        <v>219</v>
      </c>
      <c r="Y13" s="240">
        <f>U13</f>
        <v>192</v>
      </c>
      <c r="Z13" s="242">
        <v>342</v>
      </c>
      <c r="AA13" s="261">
        <f t="shared" si="7"/>
        <v>150</v>
      </c>
      <c r="AB13" s="241" t="s">
        <v>235</v>
      </c>
      <c r="AC13" s="240">
        <v>192</v>
      </c>
      <c r="AD13" s="261"/>
      <c r="AE13" s="261">
        <f t="shared" si="8"/>
        <v>-192</v>
      </c>
      <c r="AF13" s="439"/>
      <c r="AG13" s="436">
        <f>U13</f>
        <v>192</v>
      </c>
      <c r="AH13" s="288">
        <v>114</v>
      </c>
      <c r="AI13" s="384">
        <f t="shared" si="23"/>
        <v>-78</v>
      </c>
      <c r="AJ13" s="436" t="s">
        <v>270</v>
      </c>
      <c r="AK13" s="437">
        <f>U13</f>
        <v>192</v>
      </c>
      <c r="AL13" s="242">
        <v>48</v>
      </c>
      <c r="AM13" s="274">
        <v>216</v>
      </c>
      <c r="AN13" s="274">
        <f t="shared" si="9"/>
        <v>168</v>
      </c>
      <c r="AO13" s="275"/>
      <c r="AP13" s="240">
        <f>AL13</f>
        <v>48</v>
      </c>
      <c r="AQ13" s="242">
        <v>192</v>
      </c>
      <c r="AR13" s="275">
        <f t="shared" si="10"/>
        <v>144</v>
      </c>
      <c r="AS13" s="294"/>
      <c r="AT13" s="240">
        <v>48</v>
      </c>
      <c r="AU13" s="274"/>
      <c r="AV13" s="275">
        <f t="shared" si="11"/>
        <v>-48</v>
      </c>
      <c r="AW13" s="294"/>
      <c r="AX13" s="436">
        <f>AL13</f>
        <v>48</v>
      </c>
      <c r="AY13" s="261">
        <v>48</v>
      </c>
      <c r="AZ13" s="496">
        <f t="shared" si="24"/>
        <v>0</v>
      </c>
      <c r="BA13" s="497"/>
      <c r="BB13" s="440">
        <f>AL13</f>
        <v>48</v>
      </c>
      <c r="BC13" s="242">
        <v>72</v>
      </c>
      <c r="BD13" s="274">
        <v>482</v>
      </c>
      <c r="BE13" s="274">
        <f t="shared" si="12"/>
        <v>410</v>
      </c>
      <c r="BF13" s="241" t="s">
        <v>197</v>
      </c>
      <c r="BG13" s="242">
        <f>BC13</f>
        <v>72</v>
      </c>
      <c r="BH13" s="242">
        <v>384</v>
      </c>
      <c r="BI13" s="274">
        <f t="shared" si="13"/>
        <v>312</v>
      </c>
      <c r="BJ13" s="241" t="s">
        <v>240</v>
      </c>
      <c r="BK13" s="242">
        <v>72</v>
      </c>
      <c r="BL13" s="274"/>
      <c r="BM13" s="274">
        <f t="shared" si="14"/>
        <v>-72</v>
      </c>
      <c r="BN13" s="241"/>
      <c r="BO13" s="274">
        <f>BC13</f>
        <v>72</v>
      </c>
      <c r="BP13" s="274">
        <v>51</v>
      </c>
      <c r="BQ13" s="384">
        <f t="shared" si="25"/>
        <v>-21</v>
      </c>
      <c r="BR13" s="497" t="s">
        <v>272</v>
      </c>
      <c r="BS13" s="294">
        <f>BC13</f>
        <v>72</v>
      </c>
      <c r="BT13" s="242">
        <v>72</v>
      </c>
      <c r="BU13" s="274">
        <v>396</v>
      </c>
      <c r="BV13" s="274">
        <f t="shared" si="15"/>
        <v>324</v>
      </c>
      <c r="BW13" s="241" t="s">
        <v>198</v>
      </c>
      <c r="BX13" s="242">
        <f>BT13</f>
        <v>72</v>
      </c>
      <c r="BY13" s="242">
        <v>352</v>
      </c>
      <c r="BZ13" s="261">
        <f t="shared" si="16"/>
        <v>280</v>
      </c>
      <c r="CA13" s="241" t="s">
        <v>242</v>
      </c>
      <c r="CB13" s="242">
        <f>BT13</f>
        <v>72</v>
      </c>
      <c r="CC13" s="261"/>
      <c r="CD13" s="261">
        <f t="shared" si="17"/>
        <v>-72</v>
      </c>
      <c r="CE13" s="441"/>
      <c r="CF13" s="436">
        <f>BO13</f>
        <v>72</v>
      </c>
      <c r="CG13" s="261">
        <v>48</v>
      </c>
      <c r="CH13" s="384">
        <f t="shared" si="26"/>
        <v>-24</v>
      </c>
      <c r="CI13" s="497" t="s">
        <v>273</v>
      </c>
      <c r="CJ13" s="442">
        <f>BT13</f>
        <v>72</v>
      </c>
      <c r="CK13" s="436">
        <v>72</v>
      </c>
      <c r="CL13" s="261">
        <v>324</v>
      </c>
      <c r="CM13" s="261">
        <f t="shared" si="18"/>
        <v>252</v>
      </c>
      <c r="CN13" s="261"/>
      <c r="CO13" s="261">
        <f>CK13</f>
        <v>72</v>
      </c>
      <c r="CP13" s="242">
        <v>288</v>
      </c>
      <c r="CQ13" s="261">
        <f t="shared" si="19"/>
        <v>216</v>
      </c>
      <c r="CR13" s="241" t="s">
        <v>242</v>
      </c>
      <c r="CS13" s="261">
        <f>CK13</f>
        <v>72</v>
      </c>
      <c r="CT13" s="261"/>
      <c r="CU13" s="261">
        <f t="shared" si="20"/>
        <v>-72</v>
      </c>
      <c r="CV13" s="439"/>
      <c r="CW13" s="261">
        <f>CK13</f>
        <v>72</v>
      </c>
      <c r="CX13" s="390">
        <v>48</v>
      </c>
      <c r="CY13" s="384">
        <f t="shared" si="27"/>
        <v>-24</v>
      </c>
      <c r="CZ13" s="497" t="s">
        <v>270</v>
      </c>
      <c r="DA13" s="415">
        <f>CK13</f>
        <v>72</v>
      </c>
      <c r="DB13" s="14"/>
    </row>
    <row r="14" spans="1:106" ht="17.25" customHeight="1" x14ac:dyDescent="0.2">
      <c r="A14" s="399" t="s">
        <v>60</v>
      </c>
      <c r="B14" s="604" t="s">
        <v>37</v>
      </c>
      <c r="C14" s="605"/>
      <c r="D14" s="605"/>
      <c r="E14" s="605"/>
      <c r="F14" s="605"/>
      <c r="G14" s="605"/>
      <c r="H14" s="605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605"/>
      <c r="X14" s="605"/>
      <c r="Y14" s="605"/>
      <c r="Z14" s="605"/>
      <c r="AA14" s="605"/>
      <c r="AB14" s="605"/>
      <c r="AC14" s="605"/>
      <c r="AD14" s="605"/>
      <c r="AE14" s="605"/>
      <c r="AF14" s="605"/>
      <c r="AG14" s="605"/>
      <c r="AH14" s="605"/>
      <c r="AI14" s="605"/>
      <c r="AJ14" s="605"/>
      <c r="AK14" s="605"/>
      <c r="AL14" s="605"/>
      <c r="AM14" s="605"/>
      <c r="AN14" s="605"/>
      <c r="AO14" s="605"/>
      <c r="AP14" s="605"/>
      <c r="AQ14" s="605"/>
      <c r="AR14" s="605"/>
      <c r="AS14" s="605"/>
      <c r="AT14" s="605"/>
      <c r="AU14" s="605"/>
      <c r="AV14" s="605"/>
      <c r="AW14" s="605"/>
      <c r="AX14" s="605"/>
      <c r="AY14" s="605"/>
      <c r="AZ14" s="605"/>
      <c r="BA14" s="605"/>
      <c r="BB14" s="605"/>
      <c r="BC14" s="605"/>
      <c r="BD14" s="605"/>
      <c r="BE14" s="605"/>
      <c r="BF14" s="605"/>
      <c r="BG14" s="605"/>
      <c r="BH14" s="605"/>
      <c r="BI14" s="605"/>
      <c r="BJ14" s="605"/>
      <c r="BK14" s="605"/>
      <c r="BL14" s="605"/>
      <c r="BM14" s="605"/>
      <c r="BN14" s="605"/>
      <c r="BO14" s="605"/>
      <c r="BP14" s="605"/>
      <c r="BQ14" s="605"/>
      <c r="BR14" s="605"/>
      <c r="BS14" s="605"/>
      <c r="BT14" s="605"/>
      <c r="BU14" s="605"/>
      <c r="BV14" s="605"/>
      <c r="BW14" s="605"/>
      <c r="BX14" s="605"/>
      <c r="BY14" s="605"/>
      <c r="BZ14" s="605"/>
      <c r="CA14" s="605"/>
      <c r="CB14" s="605"/>
      <c r="CC14" s="605"/>
      <c r="CD14" s="605"/>
      <c r="CE14" s="605"/>
      <c r="CF14" s="605"/>
      <c r="CG14" s="605"/>
      <c r="CH14" s="605"/>
      <c r="CI14" s="605"/>
      <c r="CJ14" s="605"/>
      <c r="CK14" s="605"/>
      <c r="CL14" s="605"/>
      <c r="CM14" s="605"/>
      <c r="CN14" s="605"/>
      <c r="CO14" s="605"/>
      <c r="CP14" s="605"/>
      <c r="CQ14" s="605"/>
      <c r="CR14" s="605"/>
      <c r="CS14" s="605"/>
      <c r="CT14" s="605"/>
      <c r="CU14" s="605"/>
      <c r="CV14" s="605"/>
      <c r="CW14" s="605"/>
      <c r="CX14" s="605"/>
      <c r="CY14" s="605"/>
      <c r="CZ14" s="605"/>
      <c r="DA14" s="606"/>
      <c r="DB14" s="14"/>
    </row>
    <row r="15" spans="1:106" ht="56.25" customHeight="1" x14ac:dyDescent="0.2">
      <c r="A15" s="443">
        <v>1</v>
      </c>
      <c r="B15" s="444" t="s">
        <v>186</v>
      </c>
      <c r="C15" s="186" t="s">
        <v>35</v>
      </c>
      <c r="D15" s="445">
        <f>D16/D17*100</f>
        <v>0</v>
      </c>
      <c r="E15" s="193">
        <v>0</v>
      </c>
      <c r="F15" s="193">
        <f>E15-D15</f>
        <v>0</v>
      </c>
      <c r="G15" s="446"/>
      <c r="H15" s="243">
        <f>H16/H17</f>
        <v>0</v>
      </c>
      <c r="I15" s="243">
        <v>0</v>
      </c>
      <c r="J15" s="243">
        <f>I15-H15</f>
        <v>0</v>
      </c>
      <c r="K15" s="244"/>
      <c r="L15" s="193">
        <f t="shared" ref="L15:DA15" si="28">L16/L17</f>
        <v>0</v>
      </c>
      <c r="M15" s="193">
        <v>0</v>
      </c>
      <c r="N15" s="193">
        <f>M15-L15</f>
        <v>0</v>
      </c>
      <c r="O15" s="446"/>
      <c r="P15" s="207">
        <f t="shared" si="28"/>
        <v>0</v>
      </c>
      <c r="Q15" s="207"/>
      <c r="R15" s="325"/>
      <c r="S15" s="445"/>
      <c r="T15" s="207">
        <f t="shared" si="28"/>
        <v>0</v>
      </c>
      <c r="U15" s="207">
        <f t="shared" si="28"/>
        <v>0</v>
      </c>
      <c r="V15" s="207">
        <v>0</v>
      </c>
      <c r="W15" s="193">
        <f>V15-U15</f>
        <v>0</v>
      </c>
      <c r="X15" s="447"/>
      <c r="Y15" s="243">
        <f>Y16/Y17</f>
        <v>0</v>
      </c>
      <c r="Z15" s="262"/>
      <c r="AA15" s="243">
        <f>Z15-Y15</f>
        <v>0</v>
      </c>
      <c r="AB15" s="263"/>
      <c r="AC15" s="193">
        <f t="shared" si="28"/>
        <v>0</v>
      </c>
      <c r="AD15" s="207"/>
      <c r="AE15" s="193">
        <f>AD15-AC15</f>
        <v>0</v>
      </c>
      <c r="AF15" s="447"/>
      <c r="AG15" s="445">
        <f t="shared" si="28"/>
        <v>0</v>
      </c>
      <c r="AH15" s="207"/>
      <c r="AI15" s="325"/>
      <c r="AJ15" s="445"/>
      <c r="AK15" s="207">
        <f t="shared" si="28"/>
        <v>0</v>
      </c>
      <c r="AL15" s="207">
        <f t="shared" si="28"/>
        <v>0</v>
      </c>
      <c r="AM15" s="207">
        <v>0</v>
      </c>
      <c r="AN15" s="193">
        <f>AM15-AL15</f>
        <v>0</v>
      </c>
      <c r="AO15" s="447"/>
      <c r="AP15" s="243">
        <f>AP16/AP17</f>
        <v>0</v>
      </c>
      <c r="AQ15" s="262"/>
      <c r="AR15" s="243">
        <f>AQ15-AP15</f>
        <v>0</v>
      </c>
      <c r="AS15" s="263"/>
      <c r="AT15" s="193">
        <f t="shared" si="28"/>
        <v>0</v>
      </c>
      <c r="AU15" s="207"/>
      <c r="AV15" s="193">
        <f>AU15-AT15</f>
        <v>0</v>
      </c>
      <c r="AW15" s="447"/>
      <c r="AX15" s="445">
        <f t="shared" si="28"/>
        <v>0</v>
      </c>
      <c r="AY15" s="207"/>
      <c r="AZ15" s="325"/>
      <c r="BA15" s="448"/>
      <c r="BB15" s="193">
        <f t="shared" si="28"/>
        <v>0</v>
      </c>
      <c r="BC15" s="207">
        <f t="shared" si="28"/>
        <v>0</v>
      </c>
      <c r="BD15" s="207">
        <v>0</v>
      </c>
      <c r="BE15" s="193">
        <f>BD15-BC15</f>
        <v>0</v>
      </c>
      <c r="BF15" s="447"/>
      <c r="BG15" s="243">
        <f>BG16/BG17</f>
        <v>0</v>
      </c>
      <c r="BH15" s="262"/>
      <c r="BI15" s="243">
        <f>BH15-BG15</f>
        <v>0</v>
      </c>
      <c r="BJ15" s="263"/>
      <c r="BK15" s="193">
        <f t="shared" si="28"/>
        <v>0</v>
      </c>
      <c r="BL15" s="207"/>
      <c r="BM15" s="193">
        <f>BL15-BK15</f>
        <v>0</v>
      </c>
      <c r="BN15" s="447"/>
      <c r="BO15" s="207">
        <f t="shared" si="28"/>
        <v>0</v>
      </c>
      <c r="BP15" s="207"/>
      <c r="BQ15" s="325"/>
      <c r="BR15" s="445"/>
      <c r="BS15" s="207">
        <f t="shared" si="28"/>
        <v>0</v>
      </c>
      <c r="BT15" s="207">
        <f t="shared" si="28"/>
        <v>0</v>
      </c>
      <c r="BU15" s="207">
        <v>0</v>
      </c>
      <c r="BV15" s="193">
        <f>BU15-BT15</f>
        <v>0</v>
      </c>
      <c r="BW15" s="447"/>
      <c r="BX15" s="243">
        <f>BX16/BX17</f>
        <v>0</v>
      </c>
      <c r="BY15" s="262"/>
      <c r="BZ15" s="243">
        <f>BY15-BX15</f>
        <v>0</v>
      </c>
      <c r="CA15" s="263"/>
      <c r="CB15" s="193">
        <f t="shared" si="28"/>
        <v>0</v>
      </c>
      <c r="CC15" s="207"/>
      <c r="CD15" s="193">
        <f>CC15-CB15</f>
        <v>0</v>
      </c>
      <c r="CE15" s="447"/>
      <c r="CF15" s="207">
        <v>0</v>
      </c>
      <c r="CG15" s="325"/>
      <c r="CH15" s="325"/>
      <c r="CI15" s="325"/>
      <c r="CJ15" s="325">
        <f t="shared" si="28"/>
        <v>0</v>
      </c>
      <c r="CK15" s="445">
        <f t="shared" si="28"/>
        <v>0</v>
      </c>
      <c r="CL15" s="207">
        <v>0</v>
      </c>
      <c r="CM15" s="193">
        <f>CL15-CK15</f>
        <v>0</v>
      </c>
      <c r="CN15" s="207"/>
      <c r="CO15" s="262">
        <f>CO16/CO17</f>
        <v>0</v>
      </c>
      <c r="CP15" s="262"/>
      <c r="CQ15" s="243">
        <f>CP15-CO15</f>
        <v>0</v>
      </c>
      <c r="CR15" s="263"/>
      <c r="CS15" s="207">
        <f t="shared" si="28"/>
        <v>0</v>
      </c>
      <c r="CT15" s="207"/>
      <c r="CU15" s="193">
        <f>CT15-CS15</f>
        <v>0</v>
      </c>
      <c r="CV15" s="447"/>
      <c r="CW15" s="445">
        <f t="shared" si="28"/>
        <v>0</v>
      </c>
      <c r="CX15" s="325"/>
      <c r="CY15" s="325"/>
      <c r="CZ15" s="445"/>
      <c r="DA15" s="447">
        <f t="shared" si="28"/>
        <v>0</v>
      </c>
      <c r="DB15" s="14"/>
    </row>
    <row r="16" spans="1:106" ht="242.25" customHeight="1" x14ac:dyDescent="0.2">
      <c r="A16" s="449" t="s">
        <v>30</v>
      </c>
      <c r="B16" s="409" t="s">
        <v>187</v>
      </c>
      <c r="C16" s="188" t="s">
        <v>54</v>
      </c>
      <c r="D16" s="450">
        <v>0</v>
      </c>
      <c r="E16" s="194">
        <v>0</v>
      </c>
      <c r="F16" s="194">
        <f>E16-D16</f>
        <v>0</v>
      </c>
      <c r="G16" s="451"/>
      <c r="H16" s="245">
        <v>0</v>
      </c>
      <c r="I16" s="245">
        <v>0</v>
      </c>
      <c r="J16" s="245">
        <f>I16-H16</f>
        <v>0</v>
      </c>
      <c r="K16" s="246"/>
      <c r="L16" s="194">
        <v>0</v>
      </c>
      <c r="M16" s="194">
        <v>0</v>
      </c>
      <c r="N16" s="194">
        <f>M16-L16</f>
        <v>0</v>
      </c>
      <c r="O16" s="451"/>
      <c r="P16" s="452">
        <v>0</v>
      </c>
      <c r="Q16" s="452"/>
      <c r="R16" s="326"/>
      <c r="S16" s="450"/>
      <c r="T16" s="452">
        <v>0</v>
      </c>
      <c r="U16" s="208">
        <v>0</v>
      </c>
      <c r="V16" s="208">
        <v>0</v>
      </c>
      <c r="W16" s="194">
        <f>V16-U16</f>
        <v>0</v>
      </c>
      <c r="X16" s="453"/>
      <c r="Y16" s="264">
        <v>0</v>
      </c>
      <c r="Z16" s="265"/>
      <c r="AA16" s="245">
        <f>Z16-Y16</f>
        <v>0</v>
      </c>
      <c r="AB16" s="266"/>
      <c r="AC16" s="454">
        <v>0</v>
      </c>
      <c r="AD16" s="208"/>
      <c r="AE16" s="194">
        <f>AD16-AC16</f>
        <v>0</v>
      </c>
      <c r="AF16" s="453"/>
      <c r="AG16" s="311">
        <v>0</v>
      </c>
      <c r="AH16" s="206"/>
      <c r="AI16" s="309"/>
      <c r="AJ16" s="311"/>
      <c r="AK16" s="208">
        <v>0</v>
      </c>
      <c r="AL16" s="452">
        <v>0</v>
      </c>
      <c r="AM16" s="452">
        <v>0</v>
      </c>
      <c r="AN16" s="194">
        <f>AM16-AL16</f>
        <v>0</v>
      </c>
      <c r="AO16" s="455"/>
      <c r="AP16" s="245">
        <v>0</v>
      </c>
      <c r="AQ16" s="276"/>
      <c r="AR16" s="245">
        <f>AQ16-AP16</f>
        <v>0</v>
      </c>
      <c r="AS16" s="277"/>
      <c r="AT16" s="194">
        <v>0</v>
      </c>
      <c r="AU16" s="452"/>
      <c r="AV16" s="194">
        <f>AU16-AT16</f>
        <v>0</v>
      </c>
      <c r="AW16" s="455"/>
      <c r="AX16" s="450">
        <v>0</v>
      </c>
      <c r="AY16" s="452"/>
      <c r="AZ16" s="326"/>
      <c r="BA16" s="188"/>
      <c r="BB16" s="194">
        <v>0</v>
      </c>
      <c r="BC16" s="452">
        <v>0</v>
      </c>
      <c r="BD16" s="452">
        <v>0</v>
      </c>
      <c r="BE16" s="194">
        <f>BD16-BC16</f>
        <v>0</v>
      </c>
      <c r="BF16" s="455"/>
      <c r="BG16" s="245">
        <v>0</v>
      </c>
      <c r="BH16" s="276"/>
      <c r="BI16" s="245">
        <f>BH16-BG16</f>
        <v>0</v>
      </c>
      <c r="BJ16" s="277"/>
      <c r="BK16" s="194">
        <v>0</v>
      </c>
      <c r="BL16" s="452"/>
      <c r="BM16" s="194">
        <f>BL16-BK16</f>
        <v>0</v>
      </c>
      <c r="BN16" s="455"/>
      <c r="BO16" s="452">
        <v>0</v>
      </c>
      <c r="BP16" s="452"/>
      <c r="BQ16" s="326"/>
      <c r="BR16" s="450"/>
      <c r="BS16" s="452">
        <v>0</v>
      </c>
      <c r="BT16" s="452">
        <v>0</v>
      </c>
      <c r="BU16" s="452">
        <v>0</v>
      </c>
      <c r="BV16" s="194">
        <f>BU16-BT16</f>
        <v>0</v>
      </c>
      <c r="BW16" s="455"/>
      <c r="BX16" s="245">
        <v>0</v>
      </c>
      <c r="BY16" s="265"/>
      <c r="BZ16" s="245">
        <f>BY16-BX16</f>
        <v>0</v>
      </c>
      <c r="CA16" s="266"/>
      <c r="CB16" s="194">
        <v>0</v>
      </c>
      <c r="CC16" s="208"/>
      <c r="CD16" s="194">
        <f>CC16-CB16</f>
        <v>0</v>
      </c>
      <c r="CE16" s="453"/>
      <c r="CF16" s="208">
        <f>CC16</f>
        <v>0</v>
      </c>
      <c r="CG16" s="456"/>
      <c r="CH16" s="456"/>
      <c r="CI16" s="456"/>
      <c r="CJ16" s="326">
        <v>0</v>
      </c>
      <c r="CK16" s="457">
        <v>0</v>
      </c>
      <c r="CL16" s="208">
        <v>0</v>
      </c>
      <c r="CM16" s="194">
        <f>CL16-CK16</f>
        <v>0</v>
      </c>
      <c r="CN16" s="208"/>
      <c r="CO16" s="265">
        <v>0</v>
      </c>
      <c r="CP16" s="265"/>
      <c r="CQ16" s="245">
        <f>CP16-CO16</f>
        <v>0</v>
      </c>
      <c r="CR16" s="266"/>
      <c r="CS16" s="208">
        <v>0</v>
      </c>
      <c r="CT16" s="208"/>
      <c r="CU16" s="194">
        <f>CT16-CS16</f>
        <v>0</v>
      </c>
      <c r="CV16" s="453"/>
      <c r="CW16" s="457">
        <v>0</v>
      </c>
      <c r="CX16" s="456"/>
      <c r="CY16" s="456"/>
      <c r="CZ16" s="457"/>
      <c r="DA16" s="453">
        <v>0</v>
      </c>
      <c r="DB16" s="14"/>
    </row>
    <row r="17" spans="1:111" ht="19.5" customHeight="1" x14ac:dyDescent="0.2">
      <c r="A17" s="458" t="s">
        <v>31</v>
      </c>
      <c r="B17" s="459" t="s">
        <v>61</v>
      </c>
      <c r="C17" s="303" t="s">
        <v>62</v>
      </c>
      <c r="D17" s="460">
        <v>23.4</v>
      </c>
      <c r="E17" s="461">
        <f>3.135+0.7+16.554</f>
        <v>20.388999999999999</v>
      </c>
      <c r="F17" s="461">
        <f>E17-D17</f>
        <v>-3.0109999999999992</v>
      </c>
      <c r="G17" s="462" t="s">
        <v>199</v>
      </c>
      <c r="H17" s="247">
        <f>D17</f>
        <v>23.4</v>
      </c>
      <c r="I17" s="248">
        <f>3.135+0.7+16.554</f>
        <v>20.388999999999999</v>
      </c>
      <c r="J17" s="248">
        <f>I17-H17</f>
        <v>-3.0109999999999992</v>
      </c>
      <c r="K17" s="249"/>
      <c r="L17" s="195">
        <f>D17</f>
        <v>23.4</v>
      </c>
      <c r="M17" s="461"/>
      <c r="N17" s="461">
        <f>M17-L17</f>
        <v>-23.4</v>
      </c>
      <c r="O17" s="462"/>
      <c r="P17" s="463">
        <v>20.388999999999999</v>
      </c>
      <c r="Q17" s="463">
        <v>20.388999999999999</v>
      </c>
      <c r="R17" s="327">
        <f>Q17-P17</f>
        <v>0</v>
      </c>
      <c r="S17" s="460"/>
      <c r="T17" s="463">
        <f>D17</f>
        <v>23.4</v>
      </c>
      <c r="U17" s="328">
        <v>6.32</v>
      </c>
      <c r="V17" s="328">
        <f>0.574+5.208</f>
        <v>5.782</v>
      </c>
      <c r="W17" s="461">
        <f>V17-U17</f>
        <v>-0.53800000000000026</v>
      </c>
      <c r="X17" s="462" t="s">
        <v>199</v>
      </c>
      <c r="Y17" s="248">
        <f>U17</f>
        <v>6.32</v>
      </c>
      <c r="Z17" s="267"/>
      <c r="AA17" s="248">
        <f>Z17-Y17</f>
        <v>-6.32</v>
      </c>
      <c r="AB17" s="249"/>
      <c r="AC17" s="464">
        <f>U17</f>
        <v>6.32</v>
      </c>
      <c r="AD17" s="328"/>
      <c r="AE17" s="461">
        <f>AD17-AC17</f>
        <v>-6.32</v>
      </c>
      <c r="AF17" s="462"/>
      <c r="AG17" s="465">
        <v>6.32</v>
      </c>
      <c r="AH17" s="204">
        <v>5.782</v>
      </c>
      <c r="AI17" s="327">
        <f>AH17-AG17</f>
        <v>-0.53800000000000026</v>
      </c>
      <c r="AJ17" s="465"/>
      <c r="AK17" s="204">
        <f>U17</f>
        <v>6.32</v>
      </c>
      <c r="AL17" s="328">
        <v>2.39</v>
      </c>
      <c r="AM17" s="328">
        <v>2.395</v>
      </c>
      <c r="AN17" s="461">
        <f>AM17-AL17</f>
        <v>4.9999999999998934E-3</v>
      </c>
      <c r="AO17" s="466" t="s">
        <v>199</v>
      </c>
      <c r="AP17" s="248">
        <f>AL17</f>
        <v>2.39</v>
      </c>
      <c r="AQ17" s="267"/>
      <c r="AR17" s="248">
        <f>AQ17-AP17</f>
        <v>-2.39</v>
      </c>
      <c r="AS17" s="278"/>
      <c r="AT17" s="461">
        <f>AL17</f>
        <v>2.39</v>
      </c>
      <c r="AU17" s="328"/>
      <c r="AV17" s="461">
        <f>AU17-AT17</f>
        <v>-2.39</v>
      </c>
      <c r="AW17" s="466"/>
      <c r="AX17" s="460">
        <f>AL17</f>
        <v>2.39</v>
      </c>
      <c r="AY17" s="328">
        <v>2.395</v>
      </c>
      <c r="AZ17" s="328">
        <v>4.9999999999998934E-3</v>
      </c>
      <c r="BA17" s="467"/>
      <c r="BB17" s="461">
        <f>AL17</f>
        <v>2.39</v>
      </c>
      <c r="BC17" s="328">
        <v>6.01</v>
      </c>
      <c r="BD17" s="329">
        <f>0.943+4.764</f>
        <v>5.7069999999999999</v>
      </c>
      <c r="BE17" s="461">
        <f>BD17-BC17</f>
        <v>-0.30299999999999994</v>
      </c>
      <c r="BF17" s="462" t="s">
        <v>199</v>
      </c>
      <c r="BG17" s="283">
        <f>BC17</f>
        <v>6.01</v>
      </c>
      <c r="BH17" s="284"/>
      <c r="BI17" s="248">
        <f>BH17-BG17</f>
        <v>-6.01</v>
      </c>
      <c r="BJ17" s="249"/>
      <c r="BK17" s="468">
        <f>BC17</f>
        <v>6.01</v>
      </c>
      <c r="BL17" s="329"/>
      <c r="BM17" s="461">
        <f>BL17-BK17</f>
        <v>-6.01</v>
      </c>
      <c r="BN17" s="462"/>
      <c r="BO17" s="329">
        <f>BC17</f>
        <v>6.01</v>
      </c>
      <c r="BP17" s="329">
        <v>5.7069999999999999</v>
      </c>
      <c r="BQ17" s="461">
        <f>BP17-BO17</f>
        <v>-0.30299999999999994</v>
      </c>
      <c r="BR17" s="469"/>
      <c r="BS17" s="329">
        <f>BC17</f>
        <v>6.01</v>
      </c>
      <c r="BT17" s="328">
        <v>3.39</v>
      </c>
      <c r="BU17" s="329">
        <f>1.22+2.171-0.001</f>
        <v>3.39</v>
      </c>
      <c r="BV17" s="470">
        <f>BU17-BT17</f>
        <v>0</v>
      </c>
      <c r="BW17" s="462"/>
      <c r="BX17" s="283">
        <f>BT17</f>
        <v>3.39</v>
      </c>
      <c r="BY17" s="267"/>
      <c r="BZ17" s="248">
        <f>BY17-BX17</f>
        <v>-3.39</v>
      </c>
      <c r="CA17" s="249"/>
      <c r="CB17" s="468">
        <f>BT17</f>
        <v>3.39</v>
      </c>
      <c r="CC17" s="328"/>
      <c r="CD17" s="461">
        <f>CC17-CB17</f>
        <v>-3.39</v>
      </c>
      <c r="CE17" s="462"/>
      <c r="CF17" s="209">
        <v>3.39</v>
      </c>
      <c r="CG17" s="328">
        <v>3.39</v>
      </c>
      <c r="CH17" s="461">
        <f>CG17-CF17</f>
        <v>0</v>
      </c>
      <c r="CI17" s="471"/>
      <c r="CJ17" s="472">
        <f>BT17</f>
        <v>3.39</v>
      </c>
      <c r="CK17" s="460">
        <v>2.88</v>
      </c>
      <c r="CL17" s="328">
        <f>0.397+2.354</f>
        <v>2.7510000000000003</v>
      </c>
      <c r="CM17" s="461">
        <f>CL17-CK17</f>
        <v>-0.12899999999999956</v>
      </c>
      <c r="CN17" s="462" t="s">
        <v>199</v>
      </c>
      <c r="CO17" s="267">
        <f>CK17</f>
        <v>2.88</v>
      </c>
      <c r="CP17" s="267"/>
      <c r="CQ17" s="248">
        <f>CP17-CO17</f>
        <v>-2.88</v>
      </c>
      <c r="CR17" s="249"/>
      <c r="CS17" s="209">
        <f>CK17</f>
        <v>2.88</v>
      </c>
      <c r="CT17" s="328"/>
      <c r="CU17" s="461">
        <f>CT17-CS17</f>
        <v>-2.88</v>
      </c>
      <c r="CV17" s="462"/>
      <c r="CW17" s="465">
        <v>2.88</v>
      </c>
      <c r="CX17" s="328">
        <v>2.7509999999999999</v>
      </c>
      <c r="CY17" s="461">
        <f>CX17-CW17</f>
        <v>-0.129</v>
      </c>
      <c r="CZ17" s="465"/>
      <c r="DA17" s="473">
        <f>CK17</f>
        <v>2.88</v>
      </c>
      <c r="DB17" s="14"/>
      <c r="DD17" s="178"/>
      <c r="DE17" s="178"/>
      <c r="DF17" s="178"/>
    </row>
    <row r="18" spans="1:111" ht="15.75" customHeight="1" x14ac:dyDescent="0.2">
      <c r="A18" s="399" t="s">
        <v>63</v>
      </c>
      <c r="B18" s="604" t="s">
        <v>29</v>
      </c>
      <c r="C18" s="605"/>
      <c r="D18" s="605"/>
      <c r="E18" s="605"/>
      <c r="F18" s="605"/>
      <c r="G18" s="605"/>
      <c r="H18" s="605"/>
      <c r="I18" s="605"/>
      <c r="J18" s="605"/>
      <c r="K18" s="605"/>
      <c r="L18" s="605"/>
      <c r="M18" s="605"/>
      <c r="N18" s="605"/>
      <c r="O18" s="605"/>
      <c r="P18" s="605"/>
      <c r="Q18" s="605"/>
      <c r="R18" s="605"/>
      <c r="S18" s="605"/>
      <c r="T18" s="605"/>
      <c r="U18" s="605"/>
      <c r="V18" s="605"/>
      <c r="W18" s="605"/>
      <c r="X18" s="605"/>
      <c r="Y18" s="605"/>
      <c r="Z18" s="605"/>
      <c r="AA18" s="605"/>
      <c r="AB18" s="605"/>
      <c r="AC18" s="605"/>
      <c r="AD18" s="605"/>
      <c r="AE18" s="605"/>
      <c r="AF18" s="605"/>
      <c r="AG18" s="605"/>
      <c r="AH18" s="605"/>
      <c r="AI18" s="605"/>
      <c r="AJ18" s="605"/>
      <c r="AK18" s="605"/>
      <c r="AL18" s="605"/>
      <c r="AM18" s="605"/>
      <c r="AN18" s="605"/>
      <c r="AO18" s="605"/>
      <c r="AP18" s="605"/>
      <c r="AQ18" s="605"/>
      <c r="AR18" s="605"/>
      <c r="AS18" s="605"/>
      <c r="AT18" s="605"/>
      <c r="AU18" s="605"/>
      <c r="AV18" s="605"/>
      <c r="AW18" s="605"/>
      <c r="AX18" s="605"/>
      <c r="AY18" s="605"/>
      <c r="AZ18" s="605"/>
      <c r="BA18" s="605"/>
      <c r="BB18" s="605"/>
      <c r="BC18" s="605"/>
      <c r="BD18" s="605"/>
      <c r="BE18" s="605"/>
      <c r="BF18" s="605"/>
      <c r="BG18" s="605"/>
      <c r="BH18" s="605"/>
      <c r="BI18" s="605"/>
      <c r="BJ18" s="605"/>
      <c r="BK18" s="605"/>
      <c r="BL18" s="605"/>
      <c r="BM18" s="605"/>
      <c r="BN18" s="605"/>
      <c r="BO18" s="605"/>
      <c r="BP18" s="605"/>
      <c r="BQ18" s="605"/>
      <c r="BR18" s="605"/>
      <c r="BS18" s="605"/>
      <c r="BT18" s="605"/>
      <c r="BU18" s="605"/>
      <c r="BV18" s="605"/>
      <c r="BW18" s="605"/>
      <c r="BX18" s="605"/>
      <c r="BY18" s="605"/>
      <c r="BZ18" s="605"/>
      <c r="CA18" s="605"/>
      <c r="CB18" s="605"/>
      <c r="CC18" s="605"/>
      <c r="CD18" s="605"/>
      <c r="CE18" s="605"/>
      <c r="CF18" s="605"/>
      <c r="CG18" s="605"/>
      <c r="CH18" s="605"/>
      <c r="CI18" s="605"/>
      <c r="CJ18" s="605"/>
      <c r="CK18" s="605"/>
      <c r="CL18" s="605"/>
      <c r="CM18" s="605"/>
      <c r="CN18" s="605"/>
      <c r="CO18" s="605"/>
      <c r="CP18" s="605"/>
      <c r="CQ18" s="605"/>
      <c r="CR18" s="605"/>
      <c r="CS18" s="605"/>
      <c r="CT18" s="605"/>
      <c r="CU18" s="605"/>
      <c r="CV18" s="605"/>
      <c r="CW18" s="605"/>
      <c r="CX18" s="605"/>
      <c r="CY18" s="605"/>
      <c r="CZ18" s="605"/>
      <c r="DA18" s="606"/>
      <c r="DB18" s="14"/>
    </row>
    <row r="19" spans="1:111" ht="50.25" customHeight="1" x14ac:dyDescent="0.2">
      <c r="A19" s="474" t="s">
        <v>57</v>
      </c>
      <c r="B19" s="409" t="s">
        <v>49</v>
      </c>
      <c r="C19" s="186" t="s">
        <v>4</v>
      </c>
      <c r="D19" s="305">
        <f t="shared" ref="D19:DA19" si="29">D21/D20*100</f>
        <v>6.3157590397817991</v>
      </c>
      <c r="E19" s="196">
        <f>E21/E20*100</f>
        <v>10.76522602790596</v>
      </c>
      <c r="F19" s="196">
        <f t="shared" ref="F19:F27" si="30">E19-D19</f>
        <v>4.4494669881241613</v>
      </c>
      <c r="G19" s="475"/>
      <c r="H19" s="250">
        <f>H21/H20*100</f>
        <v>6.3157590397817991</v>
      </c>
      <c r="I19" s="250">
        <v>12.096663161092017</v>
      </c>
      <c r="J19" s="250">
        <f t="shared" ref="J19:J27" si="31">I19-H19</f>
        <v>5.7809041213102184</v>
      </c>
      <c r="K19" s="251"/>
      <c r="L19" s="196">
        <v>6.3157590873757563</v>
      </c>
      <c r="M19" s="196" t="e">
        <f>M21/M20*100</f>
        <v>#DIV/0!</v>
      </c>
      <c r="N19" s="196" t="e">
        <f t="shared" ref="N19:N27" si="32">M19-L19</f>
        <v>#DIV/0!</v>
      </c>
      <c r="O19" s="475"/>
      <c r="P19" s="201">
        <f t="shared" ref="P19" si="33">P21/P20*100</f>
        <v>6.3157590653733591</v>
      </c>
      <c r="Q19" s="201">
        <f>Q21/Q20*100</f>
        <v>7.6818216156962906</v>
      </c>
      <c r="R19" s="201">
        <f>Q19-P19</f>
        <v>1.3660625503229316</v>
      </c>
      <c r="S19" s="385"/>
      <c r="T19" s="259">
        <f t="shared" si="29"/>
        <v>6.3157590397817991</v>
      </c>
      <c r="U19" s="259">
        <f t="shared" si="29"/>
        <v>2.7348255009939382</v>
      </c>
      <c r="V19" s="250">
        <f>V21/V20*100</f>
        <v>2.6911471059343324</v>
      </c>
      <c r="W19" s="250">
        <f t="shared" ref="W19:W27" si="34">V19-U19</f>
        <v>-4.3678395059605801E-2</v>
      </c>
      <c r="X19" s="239"/>
      <c r="Y19" s="250">
        <f>Y21/Y20*100</f>
        <v>2.7348255009939382</v>
      </c>
      <c r="Z19" s="250">
        <v>2.7003141076175132</v>
      </c>
      <c r="AA19" s="250">
        <f t="shared" ref="AA19:AA27" si="35">Z19-Y19</f>
        <v>-3.4511393376424948E-2</v>
      </c>
      <c r="AB19" s="239"/>
      <c r="AC19" s="250">
        <v>2.891546948957973</v>
      </c>
      <c r="AD19" s="250" t="e">
        <f>AD21/AD20*100</f>
        <v>#DIV/0!</v>
      </c>
      <c r="AE19" s="250" t="e">
        <f t="shared" ref="AE19:AE27" si="36">AD19-AC19</f>
        <v>#DIV/0!</v>
      </c>
      <c r="AF19" s="239"/>
      <c r="AG19" s="385">
        <f>AG21/AG20*100</f>
        <v>2.7348268474162065</v>
      </c>
      <c r="AH19" s="250">
        <f>AH21/AH20*100</f>
        <v>2.6154848738545033</v>
      </c>
      <c r="AI19" s="250">
        <f t="shared" ref="AI19:AI27" si="37">AH19-AG19</f>
        <v>-0.11934197356170317</v>
      </c>
      <c r="AJ19" s="239"/>
      <c r="AK19" s="259">
        <f t="shared" si="29"/>
        <v>2.7348255009939382</v>
      </c>
      <c r="AL19" s="259">
        <f t="shared" si="29"/>
        <v>0.84566742263162153</v>
      </c>
      <c r="AM19" s="250">
        <f>AM21/AM20*100</f>
        <v>0.84281427662315689</v>
      </c>
      <c r="AN19" s="250">
        <f>AM19-AL19</f>
        <v>-2.8531460084646465E-3</v>
      </c>
      <c r="AO19" s="239"/>
      <c r="AP19" s="250">
        <f>AP21/AP20*100</f>
        <v>0.84566742263162153</v>
      </c>
      <c r="AQ19" s="250">
        <v>0.80000448465443486</v>
      </c>
      <c r="AR19" s="250">
        <f>AQ19-AP19</f>
        <v>-4.5662937977186679E-2</v>
      </c>
      <c r="AS19" s="239"/>
      <c r="AT19" s="250">
        <v>0.87836536155559053</v>
      </c>
      <c r="AU19" s="250"/>
      <c r="AV19" s="250">
        <f>AU19-AT19</f>
        <v>-0.87836536155559053</v>
      </c>
      <c r="AW19" s="239"/>
      <c r="AX19" s="385">
        <f>AX21/AX20*100</f>
        <v>0.88921890530204539</v>
      </c>
      <c r="AY19" s="250">
        <f>AY21/AY20*100</f>
        <v>0.79189172409511388</v>
      </c>
      <c r="AZ19" s="250">
        <f>AY19-AX19</f>
        <v>-9.7327181206931512E-2</v>
      </c>
      <c r="BA19" s="385"/>
      <c r="BB19" s="259">
        <f t="shared" si="29"/>
        <v>0.84566742263162153</v>
      </c>
      <c r="BC19" s="259">
        <f t="shared" si="29"/>
        <v>1.8791422275389713</v>
      </c>
      <c r="BD19" s="250">
        <f>BD21/BD20*100</f>
        <v>1.8859042357492761</v>
      </c>
      <c r="BE19" s="250">
        <f>BD19-BC19</f>
        <v>6.7620082103048151E-3</v>
      </c>
      <c r="BF19" s="239"/>
      <c r="BG19" s="250">
        <f>BG21/BG20*100</f>
        <v>1.8791422275389713</v>
      </c>
      <c r="BH19" s="250">
        <v>1.9000015291867616</v>
      </c>
      <c r="BI19" s="250">
        <f>BH19-BG19</f>
        <v>2.0859301647790263E-2</v>
      </c>
      <c r="BJ19" s="239"/>
      <c r="BK19" s="250">
        <v>1.9895867570264107</v>
      </c>
      <c r="BL19" s="250" t="e">
        <f>BL21/BL20*100</f>
        <v>#DIV/0!</v>
      </c>
      <c r="BM19" s="250" t="e">
        <f>BL19-BK19</f>
        <v>#DIV/0!</v>
      </c>
      <c r="BN19" s="239"/>
      <c r="BO19" s="385">
        <f t="shared" si="29"/>
        <v>1.8791429797257293</v>
      </c>
      <c r="BP19" s="250">
        <f>BP21/BP20*100</f>
        <v>1.8860116731431336</v>
      </c>
      <c r="BQ19" s="250">
        <f>BP19-BO19</f>
        <v>6.8686934174042591E-3</v>
      </c>
      <c r="BR19" s="239"/>
      <c r="BS19" s="259">
        <f t="shared" si="29"/>
        <v>1.8791422275389713</v>
      </c>
      <c r="BT19" s="259">
        <f t="shared" si="29"/>
        <v>1.4500085130782396</v>
      </c>
      <c r="BU19" s="250">
        <f>BU21/BU20*100</f>
        <v>1.4418861890493218</v>
      </c>
      <c r="BV19" s="250">
        <f>BU19-BT19</f>
        <v>-8.1223240289178822E-3</v>
      </c>
      <c r="BW19" s="259"/>
      <c r="BX19" s="259" t="e">
        <f>BX21/BX20*100</f>
        <v>#REF!</v>
      </c>
      <c r="BY19" s="250">
        <v>1.4777626030396298</v>
      </c>
      <c r="BZ19" s="250" t="e">
        <f t="shared" ref="BZ19:BZ27" si="38">BY19-BX19</f>
        <v>#REF!</v>
      </c>
      <c r="CA19" s="239"/>
      <c r="CB19" s="259">
        <v>1.5676855718365821</v>
      </c>
      <c r="CC19" s="250" t="e">
        <f>CC21/CC20*100</f>
        <v>#DIV/0!</v>
      </c>
      <c r="CD19" s="250" t="e">
        <f t="shared" ref="CD19:CD27" si="39">CC19-CB19</f>
        <v>#DIV/0!</v>
      </c>
      <c r="CE19" s="239"/>
      <c r="CF19" s="385">
        <f t="shared" ref="CF19" si="40">CF21/CF20*100</f>
        <v>1.4500073385307395</v>
      </c>
      <c r="CG19" s="250">
        <f>CG21/CG20*100</f>
        <v>1.4359404420956028</v>
      </c>
      <c r="CH19" s="250">
        <f>CG19-CF19</f>
        <v>-1.40668964351367E-2</v>
      </c>
      <c r="CI19" s="384"/>
      <c r="CJ19" s="403">
        <f t="shared" si="29"/>
        <v>1.5676855718365821</v>
      </c>
      <c r="CK19" s="385">
        <f t="shared" si="29"/>
        <v>2.4032009875173297</v>
      </c>
      <c r="CL19" s="250">
        <f>CL21/CL20*100</f>
        <v>2.4000046774419133</v>
      </c>
      <c r="CM19" s="250">
        <f>CL19-CK19</f>
        <v>-3.1963100754164309E-3</v>
      </c>
      <c r="CN19" s="259"/>
      <c r="CO19" s="259">
        <f>CO21/CO20*100</f>
        <v>2.4032009875173297</v>
      </c>
      <c r="CP19" s="250">
        <v>2.3999985087815952</v>
      </c>
      <c r="CQ19" s="250">
        <f t="shared" ref="CQ19:CQ27" si="41">CP19-CO19</f>
        <v>-3.2024787357345375E-3</v>
      </c>
      <c r="CR19" s="239"/>
      <c r="CS19" s="259">
        <v>2.44833998116074</v>
      </c>
      <c r="CT19" s="250" t="e">
        <f>CT21/CT20*100</f>
        <v>#DIV/0!</v>
      </c>
      <c r="CU19" s="250" t="e">
        <f t="shared" ref="CU19:CU27" si="42">CT19-CS19</f>
        <v>#DIV/0!</v>
      </c>
      <c r="CV19" s="239"/>
      <c r="CW19" s="385">
        <f t="shared" si="29"/>
        <v>2.4032004309732193</v>
      </c>
      <c r="CX19" s="250">
        <f>CX21/CX20*100</f>
        <v>2.3784014656826504</v>
      </c>
      <c r="CY19" s="250">
        <f>CX19-CW19</f>
        <v>-2.4798965290568908E-2</v>
      </c>
      <c r="CZ19" s="239"/>
      <c r="DA19" s="402">
        <f t="shared" si="29"/>
        <v>2.4032009875173297</v>
      </c>
      <c r="DB19" s="14"/>
      <c r="DE19" s="307"/>
    </row>
    <row r="20" spans="1:111" ht="31.5" x14ac:dyDescent="0.2">
      <c r="A20" s="400" t="s">
        <v>30</v>
      </c>
      <c r="B20" s="409" t="s">
        <v>64</v>
      </c>
      <c r="C20" s="188" t="s">
        <v>71</v>
      </c>
      <c r="D20" s="308">
        <v>1135.886986</v>
      </c>
      <c r="E20" s="191">
        <v>1023.397704</v>
      </c>
      <c r="F20" s="191">
        <f t="shared" si="30"/>
        <v>-112.489282</v>
      </c>
      <c r="G20" s="423"/>
      <c r="H20" s="238">
        <v>1135.886986</v>
      </c>
      <c r="I20" s="238">
        <v>1008.387217</v>
      </c>
      <c r="J20" s="238">
        <f t="shared" si="31"/>
        <v>-127.49976900000001</v>
      </c>
      <c r="K20" s="252"/>
      <c r="L20" s="191">
        <v>1084.1101450000001</v>
      </c>
      <c r="M20" s="191"/>
      <c r="N20" s="191">
        <f t="shared" si="32"/>
        <v>-1084.1101450000001</v>
      </c>
      <c r="O20" s="423"/>
      <c r="P20" s="202">
        <v>1036.351028</v>
      </c>
      <c r="Q20" s="202">
        <v>1027.1980000000001</v>
      </c>
      <c r="R20" s="202">
        <f t="shared" ref="R20:R27" si="43">Q20-P20</f>
        <v>-9.1530279999999493</v>
      </c>
      <c r="S20" s="386"/>
      <c r="T20" s="286">
        <v>1135.886986</v>
      </c>
      <c r="U20" s="286">
        <v>39.621687000000001</v>
      </c>
      <c r="V20" s="238">
        <v>34.594912999999998</v>
      </c>
      <c r="W20" s="238">
        <f t="shared" si="34"/>
        <v>-5.0267740000000032</v>
      </c>
      <c r="X20" s="268"/>
      <c r="Y20" s="238">
        <v>39.621687000000001</v>
      </c>
      <c r="Z20" s="238">
        <v>28.811463</v>
      </c>
      <c r="AA20" s="238">
        <f t="shared" si="35"/>
        <v>-10.810224000000002</v>
      </c>
      <c r="AB20" s="268"/>
      <c r="AC20" s="238">
        <v>37.474196999999997</v>
      </c>
      <c r="AD20" s="238"/>
      <c r="AE20" s="238">
        <f t="shared" si="36"/>
        <v>-37.474196999999997</v>
      </c>
      <c r="AF20" s="268"/>
      <c r="AG20" s="386">
        <v>33.573972000000005</v>
      </c>
      <c r="AH20" s="238">
        <v>28.751839</v>
      </c>
      <c r="AI20" s="238">
        <f t="shared" si="37"/>
        <v>-4.8221330000000044</v>
      </c>
      <c r="AJ20" s="268"/>
      <c r="AK20" s="286">
        <v>39.621687000000001</v>
      </c>
      <c r="AL20" s="286">
        <v>19.684334000000003</v>
      </c>
      <c r="AM20" s="238">
        <v>18.239131</v>
      </c>
      <c r="AN20" s="238">
        <f>AM20-AL20</f>
        <v>-1.4452030000000029</v>
      </c>
      <c r="AO20" s="268"/>
      <c r="AP20" s="238">
        <v>19.684334000000003</v>
      </c>
      <c r="AQ20" s="238">
        <v>16.589907</v>
      </c>
      <c r="AR20" s="238">
        <f>AQ20-AP20</f>
        <v>-3.0944270000000031</v>
      </c>
      <c r="AS20" s="268"/>
      <c r="AT20" s="238">
        <v>18.951567000000001</v>
      </c>
      <c r="AU20" s="238"/>
      <c r="AV20" s="238">
        <f>AU20-AT20</f>
        <v>-18.951567000000001</v>
      </c>
      <c r="AW20" s="268"/>
      <c r="AX20" s="386">
        <v>18.023346</v>
      </c>
      <c r="AY20" s="238">
        <v>16.106999999999999</v>
      </c>
      <c r="AZ20" s="238">
        <f>AY20-AX20</f>
        <v>-1.9163460000000008</v>
      </c>
      <c r="BA20" s="386"/>
      <c r="BB20" s="286">
        <v>19.684334000000003</v>
      </c>
      <c r="BC20" s="286">
        <v>32.409947000000003</v>
      </c>
      <c r="BD20" s="238">
        <v>28.67521</v>
      </c>
      <c r="BE20" s="238">
        <f>BD20-BC20</f>
        <v>-3.7347370000000026</v>
      </c>
      <c r="BF20" s="268"/>
      <c r="BG20" s="238">
        <v>32.409947000000003</v>
      </c>
      <c r="BH20" s="238">
        <v>26.877031000000002</v>
      </c>
      <c r="BI20" s="238">
        <f>BH20-BG20</f>
        <v>-5.5329160000000002</v>
      </c>
      <c r="BJ20" s="268"/>
      <c r="BK20" s="238">
        <v>30.610828999999995</v>
      </c>
      <c r="BL20" s="238"/>
      <c r="BM20" s="238">
        <f>BL20-BK20</f>
        <v>-30.610828999999995</v>
      </c>
      <c r="BN20" s="268"/>
      <c r="BO20" s="386">
        <v>29.363225999999997</v>
      </c>
      <c r="BP20" s="238">
        <v>27.091932</v>
      </c>
      <c r="BQ20" s="238">
        <f>BP20-BO20</f>
        <v>-2.2712939999999975</v>
      </c>
      <c r="BR20" s="268"/>
      <c r="BS20" s="286">
        <v>32.409947000000003</v>
      </c>
      <c r="BT20" s="286">
        <v>26.676602000000003</v>
      </c>
      <c r="BU20" s="238">
        <v>20.008513999999998</v>
      </c>
      <c r="BV20" s="238">
        <f>BU20-BT20</f>
        <v>-6.6680880000000045</v>
      </c>
      <c r="BW20" s="286"/>
      <c r="BX20" s="286" t="e">
        <v>#REF!</v>
      </c>
      <c r="BY20" s="238">
        <v>19.913212000000001</v>
      </c>
      <c r="BZ20" s="238" t="e">
        <f t="shared" si="38"/>
        <v>#REF!</v>
      </c>
      <c r="CA20" s="268"/>
      <c r="CB20" s="286">
        <v>22.719287999999999</v>
      </c>
      <c r="CC20" s="238"/>
      <c r="CD20" s="238">
        <f t="shared" si="39"/>
        <v>-22.719287999999999</v>
      </c>
      <c r="CE20" s="268"/>
      <c r="CF20" s="386">
        <v>21.080514000000001</v>
      </c>
      <c r="CG20" s="238">
        <f>'[1]раздел 2'!CU8/1000</f>
        <v>18.201312000000001</v>
      </c>
      <c r="CH20" s="238">
        <f>CG20-CF20</f>
        <v>-2.8792019999999994</v>
      </c>
      <c r="CI20" s="387"/>
      <c r="CJ20" s="387">
        <f>CB20</f>
        <v>22.719287999999999</v>
      </c>
      <c r="CK20" s="386">
        <v>27.475771000000002</v>
      </c>
      <c r="CL20" s="238">
        <v>25.997115999999998</v>
      </c>
      <c r="CM20" s="238">
        <f>CL20-CK20</f>
        <v>-1.4786550000000034</v>
      </c>
      <c r="CN20" s="286"/>
      <c r="CO20" s="286">
        <v>27.475771000000002</v>
      </c>
      <c r="CP20" s="238">
        <v>24.677807000000001</v>
      </c>
      <c r="CQ20" s="238">
        <f t="shared" si="41"/>
        <v>-2.7979640000000003</v>
      </c>
      <c r="CR20" s="268"/>
      <c r="CS20" s="286">
        <v>26.969211999999999</v>
      </c>
      <c r="CT20" s="238"/>
      <c r="CU20" s="238">
        <f>CT20-CS20</f>
        <v>-26.969211999999999</v>
      </c>
      <c r="CV20" s="268"/>
      <c r="CW20" s="386">
        <v>26.032243999999999</v>
      </c>
      <c r="CX20" s="238">
        <f>'[1]раздел 2'!DO8/1000</f>
        <v>25.023697999999996</v>
      </c>
      <c r="CY20" s="238">
        <f>CX20-CW20</f>
        <v>-1.0085460000000026</v>
      </c>
      <c r="CZ20" s="268"/>
      <c r="DA20" s="476">
        <v>27.475771000000002</v>
      </c>
      <c r="DB20" s="14"/>
      <c r="DE20" s="307"/>
    </row>
    <row r="21" spans="1:111" ht="66" customHeight="1" x14ac:dyDescent="0.2">
      <c r="A21" s="400" t="s">
        <v>31</v>
      </c>
      <c r="B21" s="409" t="s">
        <v>65</v>
      </c>
      <c r="C21" s="188" t="s">
        <v>71</v>
      </c>
      <c r="D21" s="308">
        <v>71.739885000000015</v>
      </c>
      <c r="E21" s="191">
        <v>110.171076</v>
      </c>
      <c r="F21" s="191">
        <f t="shared" si="30"/>
        <v>38.431190999999984</v>
      </c>
      <c r="G21" s="183" t="s">
        <v>218</v>
      </c>
      <c r="H21" s="238">
        <v>71.739885000000015</v>
      </c>
      <c r="I21" s="238">
        <v>121.98120500000002</v>
      </c>
      <c r="J21" s="238">
        <f t="shared" si="31"/>
        <v>50.241320000000002</v>
      </c>
      <c r="K21" s="253" t="s">
        <v>218</v>
      </c>
      <c r="L21" s="191">
        <v>68.469785000000002</v>
      </c>
      <c r="M21" s="191"/>
      <c r="N21" s="191">
        <f t="shared" si="32"/>
        <v>-68.469785000000002</v>
      </c>
      <c r="O21" s="183"/>
      <c r="P21" s="202">
        <v>65.453434000000001</v>
      </c>
      <c r="Q21" s="202">
        <v>78.907517999999996</v>
      </c>
      <c r="R21" s="202">
        <f t="shared" si="43"/>
        <v>13.454083999999995</v>
      </c>
      <c r="S21" s="386"/>
      <c r="T21" s="286">
        <v>71.739885000000015</v>
      </c>
      <c r="U21" s="286">
        <v>1.0835840000000001</v>
      </c>
      <c r="V21" s="238">
        <v>0.93100000000000005</v>
      </c>
      <c r="W21" s="238">
        <f t="shared" si="34"/>
        <v>-0.15258400000000005</v>
      </c>
      <c r="X21" s="268"/>
      <c r="Y21" s="238">
        <v>1.0835840000000001</v>
      </c>
      <c r="Z21" s="238">
        <v>0.77800000000000002</v>
      </c>
      <c r="AA21" s="238">
        <f t="shared" si="35"/>
        <v>-0.30558400000000008</v>
      </c>
      <c r="AB21" s="268"/>
      <c r="AC21" s="238">
        <v>1.0835840000000001</v>
      </c>
      <c r="AD21" s="238"/>
      <c r="AE21" s="238">
        <f t="shared" si="36"/>
        <v>-1.0835840000000001</v>
      </c>
      <c r="AF21" s="268"/>
      <c r="AG21" s="386">
        <v>0.91819000000000006</v>
      </c>
      <c r="AH21" s="238">
        <v>0.752</v>
      </c>
      <c r="AI21" s="238">
        <f t="shared" si="37"/>
        <v>-0.16619000000000006</v>
      </c>
      <c r="AJ21" s="268"/>
      <c r="AK21" s="286">
        <v>1.0835840000000001</v>
      </c>
      <c r="AL21" s="318">
        <v>0.166464</v>
      </c>
      <c r="AM21" s="238">
        <v>0.15372199999999997</v>
      </c>
      <c r="AN21" s="238">
        <f>AM21-AL21</f>
        <v>-1.2742000000000031E-2</v>
      </c>
      <c r="AO21" s="279"/>
      <c r="AP21" s="238">
        <v>0.166464</v>
      </c>
      <c r="AQ21" s="238">
        <v>0.13272</v>
      </c>
      <c r="AR21" s="238">
        <f>AQ21-AP21</f>
        <v>-3.3743999999999996E-2</v>
      </c>
      <c r="AS21" s="279"/>
      <c r="AT21" s="238">
        <v>0.166464</v>
      </c>
      <c r="AU21" s="238"/>
      <c r="AV21" s="238">
        <f>AU21-AT21</f>
        <v>-0.166464</v>
      </c>
      <c r="AW21" s="279"/>
      <c r="AX21" s="386">
        <v>0.16026699999999999</v>
      </c>
      <c r="AY21" s="238">
        <v>0.12755</v>
      </c>
      <c r="AZ21" s="238">
        <f>AY21-AX21</f>
        <v>-3.2716999999999996E-2</v>
      </c>
      <c r="BA21" s="386"/>
      <c r="BB21" s="286">
        <v>0.166464</v>
      </c>
      <c r="BC21" s="318">
        <v>0.60902900000000004</v>
      </c>
      <c r="BD21" s="238">
        <v>0.54078700000000002</v>
      </c>
      <c r="BE21" s="238">
        <f>BD21-BC21</f>
        <v>-6.8242000000000025E-2</v>
      </c>
      <c r="BF21" s="279"/>
      <c r="BG21" s="237">
        <v>0.60902900000000004</v>
      </c>
      <c r="BH21" s="238">
        <v>0.51066400000000001</v>
      </c>
      <c r="BI21" s="238">
        <f>BH21-BG21</f>
        <v>-9.8365000000000036E-2</v>
      </c>
      <c r="BJ21" s="279"/>
      <c r="BK21" s="237">
        <v>0.60902900000000004</v>
      </c>
      <c r="BL21" s="238"/>
      <c r="BM21" s="238">
        <f>BL21-BK21</f>
        <v>-0.60902900000000004</v>
      </c>
      <c r="BN21" s="279"/>
      <c r="BO21" s="386">
        <v>0.55177700000000007</v>
      </c>
      <c r="BP21" s="238">
        <v>0.51095699999999999</v>
      </c>
      <c r="BQ21" s="238">
        <f>BP21-BO21</f>
        <v>-4.0820000000000078E-2</v>
      </c>
      <c r="BR21" s="279"/>
      <c r="BS21" s="286">
        <v>0.60902900000000004</v>
      </c>
      <c r="BT21" s="318">
        <v>0.38681299999999996</v>
      </c>
      <c r="BU21" s="238">
        <v>0.28849999999999998</v>
      </c>
      <c r="BV21" s="238">
        <f>BU21-BT21</f>
        <v>-9.8312999999999984E-2</v>
      </c>
      <c r="BW21" s="318"/>
      <c r="BX21" s="286" t="e">
        <v>#REF!</v>
      </c>
      <c r="BY21" s="238">
        <v>0.29426999999999998</v>
      </c>
      <c r="BZ21" s="238" t="e">
        <f t="shared" si="38"/>
        <v>#REF!</v>
      </c>
      <c r="CA21" s="268"/>
      <c r="CB21" s="286">
        <v>0.35616700000000001</v>
      </c>
      <c r="CC21" s="238"/>
      <c r="CD21" s="238">
        <f t="shared" si="39"/>
        <v>-0.35616700000000001</v>
      </c>
      <c r="CE21" s="268"/>
      <c r="CF21" s="386">
        <v>0.30566899999999997</v>
      </c>
      <c r="CG21" s="238">
        <f>'[1]раздел 2'!CU14/1000</f>
        <v>0.26136000000000004</v>
      </c>
      <c r="CH21" s="238">
        <f>CG21-CF21</f>
        <v>-4.4308999999999932E-2</v>
      </c>
      <c r="CI21" s="388"/>
      <c r="CJ21" s="387">
        <f>CB21</f>
        <v>0.35616700000000001</v>
      </c>
      <c r="CK21" s="386">
        <v>0.66029800000000005</v>
      </c>
      <c r="CL21" s="238">
        <v>0.62393200000000004</v>
      </c>
      <c r="CM21" s="238">
        <f>CL21-CK21</f>
        <v>-3.6366000000000009E-2</v>
      </c>
      <c r="CN21" s="286"/>
      <c r="CO21" s="286">
        <v>0.66029800000000005</v>
      </c>
      <c r="CP21" s="238">
        <v>0.5922670000000001</v>
      </c>
      <c r="CQ21" s="238">
        <f t="shared" si="41"/>
        <v>-6.8030999999999953E-2</v>
      </c>
      <c r="CR21" s="268"/>
      <c r="CS21" s="286">
        <v>0.66029800000000005</v>
      </c>
      <c r="CT21" s="238"/>
      <c r="CU21" s="238">
        <f t="shared" si="42"/>
        <v>-0.66029800000000005</v>
      </c>
      <c r="CV21" s="268"/>
      <c r="CW21" s="386">
        <v>0.62560700000000002</v>
      </c>
      <c r="CX21" s="238">
        <f>'[1]раздел 2'!DO14/1000</f>
        <v>0.59516400000000003</v>
      </c>
      <c r="CY21" s="238">
        <f>CX21-CW21</f>
        <v>-3.0442999999999998E-2</v>
      </c>
      <c r="CZ21" s="268"/>
      <c r="DA21" s="476">
        <v>0.66029800000000005</v>
      </c>
      <c r="DB21" s="14"/>
      <c r="DE21" s="307"/>
    </row>
    <row r="22" spans="1:111" ht="49.5" customHeight="1" x14ac:dyDescent="0.2">
      <c r="A22" s="408" t="s">
        <v>58</v>
      </c>
      <c r="B22" s="409" t="s">
        <v>36</v>
      </c>
      <c r="C22" s="477" t="s">
        <v>41</v>
      </c>
      <c r="D22" s="478">
        <f t="shared" ref="D22:AK22" si="44">D23/D24</f>
        <v>8.0911068721576551E-2</v>
      </c>
      <c r="E22" s="197">
        <f>E23/E24</f>
        <v>9.8424000022448804E-2</v>
      </c>
      <c r="F22" s="197">
        <f t="shared" si="30"/>
        <v>1.7512931300872253E-2</v>
      </c>
      <c r="G22" s="183"/>
      <c r="H22" s="254">
        <f>H23/H24</f>
        <v>8.0911068721576551E-2</v>
      </c>
      <c r="I22" s="254">
        <v>0.10658079161461348</v>
      </c>
      <c r="J22" s="254">
        <f t="shared" si="31"/>
        <v>2.5669722893036928E-2</v>
      </c>
      <c r="K22" s="253"/>
      <c r="L22" s="197">
        <v>8.0911066195047995E-2</v>
      </c>
      <c r="M22" s="197" t="e">
        <f>M23/M24</f>
        <v>#DIV/0!</v>
      </c>
      <c r="N22" s="197" t="e">
        <f t="shared" si="32"/>
        <v>#DIV/0!</v>
      </c>
      <c r="O22" s="183"/>
      <c r="P22" s="310">
        <f>P23/P24</f>
        <v>8.0911068721576551E-2</v>
      </c>
      <c r="Q22" s="310">
        <f>Q23/Q24</f>
        <v>0.10646730231172567</v>
      </c>
      <c r="R22" s="310">
        <f t="shared" si="43"/>
        <v>2.5556233590149122E-2</v>
      </c>
      <c r="S22" s="479"/>
      <c r="T22" s="287">
        <f t="shared" si="44"/>
        <v>8.0911068721576551E-2</v>
      </c>
      <c r="U22" s="287">
        <f t="shared" si="44"/>
        <v>1.6125993010664577</v>
      </c>
      <c r="V22" s="254">
        <f>V23/V24</f>
        <v>1.4534464549075647</v>
      </c>
      <c r="W22" s="254">
        <f t="shared" si="34"/>
        <v>-0.15915284615889291</v>
      </c>
      <c r="X22" s="269"/>
      <c r="Y22" s="254">
        <f>Y23/Y24</f>
        <v>1.6125993010664577</v>
      </c>
      <c r="Z22" s="254">
        <v>1.6954302191727828</v>
      </c>
      <c r="AA22" s="254">
        <f t="shared" si="35"/>
        <v>8.2830918106325147E-2</v>
      </c>
      <c r="AB22" s="269"/>
      <c r="AC22" s="254">
        <v>1.6125993010664577</v>
      </c>
      <c r="AD22" s="254" t="e">
        <f>AD23/AD24</f>
        <v>#DIV/0!</v>
      </c>
      <c r="AE22" s="254" t="e">
        <f t="shared" si="36"/>
        <v>#DIV/0!</v>
      </c>
      <c r="AF22" s="269"/>
      <c r="AG22" s="479">
        <f>AG23/AG24</f>
        <v>1.6125993010664577</v>
      </c>
      <c r="AH22" s="254">
        <f>AH23/AH24</f>
        <v>0.26843500340969495</v>
      </c>
      <c r="AI22" s="254">
        <f t="shared" si="37"/>
        <v>-1.3441642976567627</v>
      </c>
      <c r="AJ22" s="269"/>
      <c r="AK22" s="287">
        <f t="shared" si="44"/>
        <v>1.6125993010664577</v>
      </c>
      <c r="AL22" s="288" t="s">
        <v>39</v>
      </c>
      <c r="AM22" s="254" t="s">
        <v>39</v>
      </c>
      <c r="AN22" s="254"/>
      <c r="AO22" s="273"/>
      <c r="AP22" s="240" t="s">
        <v>39</v>
      </c>
      <c r="AQ22" s="254" t="s">
        <v>39</v>
      </c>
      <c r="AR22" s="254"/>
      <c r="AS22" s="273"/>
      <c r="AT22" s="240" t="s">
        <v>39</v>
      </c>
      <c r="AU22" s="254" t="s">
        <v>39</v>
      </c>
      <c r="AV22" s="254"/>
      <c r="AW22" s="273"/>
      <c r="AX22" s="391" t="s">
        <v>39</v>
      </c>
      <c r="AY22" s="254" t="s">
        <v>39</v>
      </c>
      <c r="AZ22" s="254" t="s">
        <v>39</v>
      </c>
      <c r="BA22" s="391"/>
      <c r="BB22" s="288" t="s">
        <v>39</v>
      </c>
      <c r="BC22" s="288" t="s">
        <v>39</v>
      </c>
      <c r="BD22" s="254" t="s">
        <v>39</v>
      </c>
      <c r="BE22" s="254"/>
      <c r="BF22" s="273"/>
      <c r="BG22" s="240" t="s">
        <v>39</v>
      </c>
      <c r="BH22" s="254" t="s">
        <v>39</v>
      </c>
      <c r="BI22" s="254"/>
      <c r="BJ22" s="273"/>
      <c r="BK22" s="240" t="s">
        <v>39</v>
      </c>
      <c r="BL22" s="254" t="s">
        <v>39</v>
      </c>
      <c r="BM22" s="254"/>
      <c r="BN22" s="273"/>
      <c r="BO22" s="391" t="s">
        <v>39</v>
      </c>
      <c r="BP22" s="254" t="s">
        <v>39</v>
      </c>
      <c r="BQ22" s="254" t="s">
        <v>39</v>
      </c>
      <c r="BR22" s="273"/>
      <c r="BS22" s="288" t="s">
        <v>39</v>
      </c>
      <c r="BT22" s="288" t="s">
        <v>39</v>
      </c>
      <c r="BU22" s="254" t="s">
        <v>39</v>
      </c>
      <c r="BV22" s="254"/>
      <c r="BW22" s="288"/>
      <c r="BX22" s="287" t="s">
        <v>39</v>
      </c>
      <c r="BY22" s="254" t="s">
        <v>39</v>
      </c>
      <c r="BZ22" s="254"/>
      <c r="CA22" s="269"/>
      <c r="CB22" s="287" t="s">
        <v>39</v>
      </c>
      <c r="CC22" s="254" t="e">
        <f>CC23/CC24</f>
        <v>#DIV/0!</v>
      </c>
      <c r="CD22" s="254" t="e">
        <f t="shared" si="39"/>
        <v>#DIV/0!</v>
      </c>
      <c r="CE22" s="269"/>
      <c r="CF22" s="389" t="s">
        <v>39</v>
      </c>
      <c r="CG22" s="254" t="s">
        <v>39</v>
      </c>
      <c r="CH22" s="254" t="s">
        <v>39</v>
      </c>
      <c r="CI22" s="390"/>
      <c r="CJ22" s="388" t="s">
        <v>39</v>
      </c>
      <c r="CK22" s="391" t="s">
        <v>39</v>
      </c>
      <c r="CL22" s="254" t="s">
        <v>39</v>
      </c>
      <c r="CM22" s="254"/>
      <c r="CN22" s="288"/>
      <c r="CO22" s="288" t="s">
        <v>39</v>
      </c>
      <c r="CP22" s="254" t="s">
        <v>39</v>
      </c>
      <c r="CQ22" s="254"/>
      <c r="CR22" s="269"/>
      <c r="CS22" s="288" t="s">
        <v>39</v>
      </c>
      <c r="CT22" s="254" t="e">
        <f>CT23/CT24</f>
        <v>#DIV/0!</v>
      </c>
      <c r="CU22" s="254" t="e">
        <f t="shared" si="42"/>
        <v>#DIV/0!</v>
      </c>
      <c r="CV22" s="269"/>
      <c r="CW22" s="391" t="s">
        <v>39</v>
      </c>
      <c r="CX22" s="254" t="s">
        <v>39</v>
      </c>
      <c r="CY22" s="254" t="s">
        <v>39</v>
      </c>
      <c r="CZ22" s="269"/>
      <c r="DA22" s="410" t="s">
        <v>39</v>
      </c>
      <c r="DB22" s="14"/>
      <c r="DE22" s="307"/>
    </row>
    <row r="23" spans="1:111" ht="147" customHeight="1" x14ac:dyDescent="0.2">
      <c r="A23" s="430" t="s">
        <v>32</v>
      </c>
      <c r="B23" s="409" t="s">
        <v>66</v>
      </c>
      <c r="C23" s="480" t="s">
        <v>77</v>
      </c>
      <c r="D23" s="481">
        <v>96.073802999999998</v>
      </c>
      <c r="E23" s="203">
        <f>126.857-E26</f>
        <v>105.22499999999999</v>
      </c>
      <c r="F23" s="203">
        <f t="shared" si="30"/>
        <v>9.1511969999999963</v>
      </c>
      <c r="G23" s="183"/>
      <c r="H23" s="255">
        <v>96.073802999999998</v>
      </c>
      <c r="I23" s="256">
        <v>111.932</v>
      </c>
      <c r="J23" s="255">
        <f t="shared" si="31"/>
        <v>15.858197000000004</v>
      </c>
      <c r="K23" s="253"/>
      <c r="L23" s="198">
        <v>91.429504800404231</v>
      </c>
      <c r="M23" s="203"/>
      <c r="N23" s="203">
        <f t="shared" si="32"/>
        <v>-91.429504800404231</v>
      </c>
      <c r="O23" s="183"/>
      <c r="P23" s="202">
        <v>87.403265021341241</v>
      </c>
      <c r="Q23" s="202">
        <f>119.959-Q26</f>
        <v>109.363</v>
      </c>
      <c r="R23" s="202">
        <f t="shared" si="43"/>
        <v>21.959734978658759</v>
      </c>
      <c r="S23" s="386" t="s">
        <v>278</v>
      </c>
      <c r="T23" s="286">
        <v>96.073802999999998</v>
      </c>
      <c r="U23" s="286">
        <v>66.640600000000006</v>
      </c>
      <c r="V23" s="255">
        <v>50.448999999999998</v>
      </c>
      <c r="W23" s="255">
        <f t="shared" si="34"/>
        <v>-16.191600000000008</v>
      </c>
      <c r="X23" s="260" t="s">
        <v>200</v>
      </c>
      <c r="Y23" s="238">
        <v>66.640600000000006</v>
      </c>
      <c r="Z23" s="256">
        <v>52.493000000000002</v>
      </c>
      <c r="AA23" s="255">
        <f t="shared" si="35"/>
        <v>-14.147600000000004</v>
      </c>
      <c r="AB23" s="260" t="s">
        <v>237</v>
      </c>
      <c r="AC23" s="238">
        <v>63.341752375188101</v>
      </c>
      <c r="AD23" s="255"/>
      <c r="AE23" s="255">
        <f t="shared" si="36"/>
        <v>-63.341752375188101</v>
      </c>
      <c r="AF23" s="260"/>
      <c r="AG23" s="386">
        <v>57.292382815508674</v>
      </c>
      <c r="AH23" s="255">
        <f>ROUND((36.626-5.5*0.6*24*365/1000),3)</f>
        <v>7.718</v>
      </c>
      <c r="AI23" s="255">
        <f t="shared" si="37"/>
        <v>-49.57438281550867</v>
      </c>
      <c r="AJ23" s="260" t="s">
        <v>279</v>
      </c>
      <c r="AK23" s="286">
        <v>66.640600000000006</v>
      </c>
      <c r="AL23" s="288" t="s">
        <v>39</v>
      </c>
      <c r="AM23" s="255" t="s">
        <v>39</v>
      </c>
      <c r="AN23" s="255"/>
      <c r="AO23" s="273"/>
      <c r="AP23" s="240" t="s">
        <v>39</v>
      </c>
      <c r="AQ23" s="255" t="s">
        <v>39</v>
      </c>
      <c r="AR23" s="255"/>
      <c r="AS23" s="273"/>
      <c r="AT23" s="240" t="s">
        <v>39</v>
      </c>
      <c r="AU23" s="255" t="s">
        <v>39</v>
      </c>
      <c r="AV23" s="255"/>
      <c r="AW23" s="273"/>
      <c r="AX23" s="391" t="s">
        <v>39</v>
      </c>
      <c r="AY23" s="255" t="s">
        <v>39</v>
      </c>
      <c r="AZ23" s="255" t="s">
        <v>39</v>
      </c>
      <c r="BA23" s="391"/>
      <c r="BB23" s="288" t="s">
        <v>39</v>
      </c>
      <c r="BC23" s="288" t="s">
        <v>39</v>
      </c>
      <c r="BD23" s="255" t="s">
        <v>39</v>
      </c>
      <c r="BE23" s="255"/>
      <c r="BF23" s="273"/>
      <c r="BG23" s="240" t="s">
        <v>39</v>
      </c>
      <c r="BH23" s="255" t="s">
        <v>39</v>
      </c>
      <c r="BI23" s="255"/>
      <c r="BJ23" s="273"/>
      <c r="BK23" s="240" t="s">
        <v>39</v>
      </c>
      <c r="BL23" s="255" t="s">
        <v>39</v>
      </c>
      <c r="BM23" s="255"/>
      <c r="BN23" s="273"/>
      <c r="BO23" s="391" t="s">
        <v>39</v>
      </c>
      <c r="BP23" s="255" t="s">
        <v>39</v>
      </c>
      <c r="BQ23" s="255" t="s">
        <v>39</v>
      </c>
      <c r="BR23" s="273"/>
      <c r="BS23" s="288" t="s">
        <v>39</v>
      </c>
      <c r="BT23" s="288" t="s">
        <v>39</v>
      </c>
      <c r="BU23" s="255" t="s">
        <v>39</v>
      </c>
      <c r="BV23" s="255"/>
      <c r="BW23" s="288"/>
      <c r="BX23" s="288" t="s">
        <v>39</v>
      </c>
      <c r="BY23" s="255" t="s">
        <v>39</v>
      </c>
      <c r="BZ23" s="255"/>
      <c r="CA23" s="260"/>
      <c r="CB23" s="288" t="s">
        <v>39</v>
      </c>
      <c r="CC23" s="255"/>
      <c r="CD23" s="255" t="e">
        <f t="shared" si="39"/>
        <v>#VALUE!</v>
      </c>
      <c r="CE23" s="260"/>
      <c r="CF23" s="391" t="s">
        <v>39</v>
      </c>
      <c r="CG23" s="254" t="s">
        <v>39</v>
      </c>
      <c r="CH23" s="254" t="s">
        <v>39</v>
      </c>
      <c r="CI23" s="390"/>
      <c r="CJ23" s="390" t="s">
        <v>39</v>
      </c>
      <c r="CK23" s="391" t="s">
        <v>39</v>
      </c>
      <c r="CL23" s="255" t="s">
        <v>39</v>
      </c>
      <c r="CM23" s="255"/>
      <c r="CN23" s="288"/>
      <c r="CO23" s="288" t="s">
        <v>39</v>
      </c>
      <c r="CP23" s="255" t="s">
        <v>39</v>
      </c>
      <c r="CQ23" s="255"/>
      <c r="CR23" s="260"/>
      <c r="CS23" s="288" t="s">
        <v>39</v>
      </c>
      <c r="CT23" s="255"/>
      <c r="CU23" s="255" t="e">
        <f t="shared" si="42"/>
        <v>#VALUE!</v>
      </c>
      <c r="CV23" s="260"/>
      <c r="CW23" s="391" t="s">
        <v>39</v>
      </c>
      <c r="CX23" s="255" t="s">
        <v>39</v>
      </c>
      <c r="CY23" s="255" t="s">
        <v>39</v>
      </c>
      <c r="CZ23" s="260"/>
      <c r="DA23" s="410" t="s">
        <v>39</v>
      </c>
      <c r="DB23" s="14"/>
      <c r="DD23" s="178"/>
      <c r="DE23" s="178"/>
    </row>
    <row r="24" spans="1:111" ht="48" customHeight="1" x14ac:dyDescent="0.2">
      <c r="A24" s="408" t="s">
        <v>56</v>
      </c>
      <c r="B24" s="409" t="s">
        <v>67</v>
      </c>
      <c r="C24" s="482" t="s">
        <v>71</v>
      </c>
      <c r="D24" s="481">
        <v>1187.4000000000001</v>
      </c>
      <c r="E24" s="203">
        <v>1069.0989999999999</v>
      </c>
      <c r="F24" s="203">
        <f t="shared" si="30"/>
        <v>-118.30100000000016</v>
      </c>
      <c r="G24" s="183"/>
      <c r="H24" s="255">
        <v>1187.4000000000001</v>
      </c>
      <c r="I24" s="255">
        <v>1050.2080000000001</v>
      </c>
      <c r="J24" s="255">
        <f t="shared" si="31"/>
        <v>-137.19200000000001</v>
      </c>
      <c r="K24" s="253"/>
      <c r="L24" s="198">
        <v>1130</v>
      </c>
      <c r="M24" s="203"/>
      <c r="N24" s="203">
        <f t="shared" si="32"/>
        <v>-1130</v>
      </c>
      <c r="O24" s="183"/>
      <c r="P24" s="202">
        <v>1080.2386669999999</v>
      </c>
      <c r="Q24" s="202">
        <f>Q20</f>
        <v>1027.1980000000001</v>
      </c>
      <c r="R24" s="202">
        <f t="shared" si="43"/>
        <v>-53.040666999999758</v>
      </c>
      <c r="S24" s="386"/>
      <c r="T24" s="286">
        <v>1187.4000000000001</v>
      </c>
      <c r="U24" s="286">
        <v>41.324958999999993</v>
      </c>
      <c r="V24" s="255">
        <v>34.709913</v>
      </c>
      <c r="W24" s="255">
        <f t="shared" si="34"/>
        <v>-6.6150459999999924</v>
      </c>
      <c r="X24" s="260" t="s">
        <v>201</v>
      </c>
      <c r="Y24" s="238">
        <v>41.324958999999993</v>
      </c>
      <c r="Z24" s="255">
        <v>30.961462999999998</v>
      </c>
      <c r="AA24" s="255">
        <f t="shared" si="35"/>
        <v>-10.363495999999994</v>
      </c>
      <c r="AB24" s="260" t="s">
        <v>201</v>
      </c>
      <c r="AC24" s="238">
        <v>39.279288000000001</v>
      </c>
      <c r="AD24" s="255"/>
      <c r="AE24" s="255">
        <f t="shared" si="36"/>
        <v>-39.279288000000001</v>
      </c>
      <c r="AF24" s="260"/>
      <c r="AG24" s="386">
        <v>35.527971999999998</v>
      </c>
      <c r="AH24" s="255">
        <f>AH20</f>
        <v>28.751839</v>
      </c>
      <c r="AI24" s="255">
        <f t="shared" si="37"/>
        <v>-6.776132999999998</v>
      </c>
      <c r="AJ24" s="260"/>
      <c r="AK24" s="286">
        <v>41.324958999999993</v>
      </c>
      <c r="AL24" s="289" t="s">
        <v>39</v>
      </c>
      <c r="AM24" s="255" t="s">
        <v>39</v>
      </c>
      <c r="AN24" s="255"/>
      <c r="AO24" s="281"/>
      <c r="AP24" s="280" t="s">
        <v>39</v>
      </c>
      <c r="AQ24" s="255" t="s">
        <v>39</v>
      </c>
      <c r="AR24" s="255"/>
      <c r="AS24" s="281"/>
      <c r="AT24" s="280" t="s">
        <v>39</v>
      </c>
      <c r="AU24" s="255" t="s">
        <v>39</v>
      </c>
      <c r="AV24" s="255"/>
      <c r="AW24" s="281"/>
      <c r="AX24" s="391" t="s">
        <v>39</v>
      </c>
      <c r="AY24" s="255" t="s">
        <v>39</v>
      </c>
      <c r="AZ24" s="255" t="s">
        <v>39</v>
      </c>
      <c r="BA24" s="391"/>
      <c r="BB24" s="288" t="s">
        <v>39</v>
      </c>
      <c r="BC24" s="289" t="s">
        <v>39</v>
      </c>
      <c r="BD24" s="255" t="s">
        <v>39</v>
      </c>
      <c r="BE24" s="255"/>
      <c r="BF24" s="281"/>
      <c r="BG24" s="280" t="s">
        <v>39</v>
      </c>
      <c r="BH24" s="255" t="s">
        <v>39</v>
      </c>
      <c r="BI24" s="255"/>
      <c r="BJ24" s="281"/>
      <c r="BK24" s="280" t="s">
        <v>39</v>
      </c>
      <c r="BL24" s="255" t="s">
        <v>39</v>
      </c>
      <c r="BM24" s="255"/>
      <c r="BN24" s="281"/>
      <c r="BO24" s="483" t="s">
        <v>39</v>
      </c>
      <c r="BP24" s="255" t="s">
        <v>39</v>
      </c>
      <c r="BQ24" s="255" t="s">
        <v>39</v>
      </c>
      <c r="BR24" s="281"/>
      <c r="BS24" s="289" t="s">
        <v>39</v>
      </c>
      <c r="BT24" s="289" t="s">
        <v>39</v>
      </c>
      <c r="BU24" s="255" t="s">
        <v>39</v>
      </c>
      <c r="BV24" s="255"/>
      <c r="BW24" s="289"/>
      <c r="BX24" s="289" t="s">
        <v>39</v>
      </c>
      <c r="BY24" s="255">
        <v>0</v>
      </c>
      <c r="BZ24" s="255"/>
      <c r="CA24" s="260"/>
      <c r="CB24" s="289" t="s">
        <v>39</v>
      </c>
      <c r="CC24" s="255"/>
      <c r="CD24" s="255" t="e">
        <f t="shared" si="39"/>
        <v>#VALUE!</v>
      </c>
      <c r="CE24" s="260"/>
      <c r="CF24" s="392"/>
      <c r="CG24" s="254" t="s">
        <v>39</v>
      </c>
      <c r="CH24" s="254" t="s">
        <v>39</v>
      </c>
      <c r="CI24" s="393"/>
      <c r="CJ24" s="388" t="s">
        <v>39</v>
      </c>
      <c r="CK24" s="391" t="s">
        <v>39</v>
      </c>
      <c r="CL24" s="255" t="s">
        <v>39</v>
      </c>
      <c r="CM24" s="255"/>
      <c r="CN24" s="288"/>
      <c r="CO24" s="288" t="s">
        <v>39</v>
      </c>
      <c r="CP24" s="255">
        <v>0</v>
      </c>
      <c r="CQ24" s="255"/>
      <c r="CR24" s="260"/>
      <c r="CS24" s="288" t="s">
        <v>39</v>
      </c>
      <c r="CT24" s="255"/>
      <c r="CU24" s="255" t="e">
        <f t="shared" si="42"/>
        <v>#VALUE!</v>
      </c>
      <c r="CV24" s="260"/>
      <c r="CW24" s="391" t="s">
        <v>39</v>
      </c>
      <c r="CX24" s="255" t="s">
        <v>39</v>
      </c>
      <c r="CY24" s="255" t="s">
        <v>39</v>
      </c>
      <c r="CZ24" s="260"/>
      <c r="DA24" s="410" t="s">
        <v>39</v>
      </c>
      <c r="DB24" s="14"/>
      <c r="DE24" s="307"/>
    </row>
    <row r="25" spans="1:111" ht="110.25" x14ac:dyDescent="0.2">
      <c r="A25" s="484" t="s">
        <v>70</v>
      </c>
      <c r="B25" s="409" t="s">
        <v>38</v>
      </c>
      <c r="C25" s="477" t="s">
        <v>41</v>
      </c>
      <c r="D25" s="485">
        <f t="shared" ref="D25:DA25" si="45">D26/D27</f>
        <v>9.3978248994570322E-3</v>
      </c>
      <c r="E25" s="486">
        <f>E26/E27</f>
        <v>2.1137432608506226E-2</v>
      </c>
      <c r="F25" s="486">
        <f t="shared" si="30"/>
        <v>1.1739607709049193E-2</v>
      </c>
      <c r="G25" s="616" t="s">
        <v>202</v>
      </c>
      <c r="H25" s="247">
        <f>H26/H27</f>
        <v>9.3978248994570322E-3</v>
      </c>
      <c r="I25" s="254">
        <v>3.5279106478399561E-2</v>
      </c>
      <c r="J25" s="254">
        <f t="shared" si="31"/>
        <v>2.5881281578942528E-2</v>
      </c>
      <c r="K25" s="614" t="s">
        <v>236</v>
      </c>
      <c r="L25" s="199">
        <v>9.3978246060006081E-3</v>
      </c>
      <c r="M25" s="486" t="e">
        <f>M26/M27</f>
        <v>#DIV/0!</v>
      </c>
      <c r="N25" s="486" t="e">
        <f t="shared" si="32"/>
        <v>#DIV/0!</v>
      </c>
      <c r="O25" s="616"/>
      <c r="P25" s="204">
        <f>P26/P27</f>
        <v>9.3978248994570322E-3</v>
      </c>
      <c r="Q25" s="204">
        <f>Q26/Q27</f>
        <v>1.0315440645328359E-2</v>
      </c>
      <c r="R25" s="204">
        <f t="shared" si="43"/>
        <v>9.176157458713266E-4</v>
      </c>
      <c r="S25" s="392" t="s">
        <v>236</v>
      </c>
      <c r="T25" s="290">
        <f t="shared" si="45"/>
        <v>9.3978248994570322E-3</v>
      </c>
      <c r="U25" s="290">
        <f t="shared" si="45"/>
        <v>0.86654563698915699</v>
      </c>
      <c r="V25" s="247">
        <f>V26/V27</f>
        <v>1.7633391004063399</v>
      </c>
      <c r="W25" s="238">
        <f t="shared" si="34"/>
        <v>0.89679346341718291</v>
      </c>
      <c r="X25" s="270"/>
      <c r="Y25" s="247">
        <f>Y26/Y27</f>
        <v>0.86654563698915699</v>
      </c>
      <c r="Z25" s="247">
        <v>2.1699349318012766</v>
      </c>
      <c r="AA25" s="238">
        <f t="shared" si="35"/>
        <v>1.3033892948121197</v>
      </c>
      <c r="AB25" s="270"/>
      <c r="AC25" s="247">
        <v>0.86654563698915699</v>
      </c>
      <c r="AD25" s="247" t="e">
        <f>AD26/AD27</f>
        <v>#DIV/0!</v>
      </c>
      <c r="AE25" s="238" t="e">
        <f t="shared" si="36"/>
        <v>#DIV/0!</v>
      </c>
      <c r="AF25" s="270"/>
      <c r="AG25" s="392">
        <f>AG26/AG27</f>
        <v>0.86654563698915699</v>
      </c>
      <c r="AH25" s="247">
        <f>AH26/AH27</f>
        <v>1.7712863167018682</v>
      </c>
      <c r="AI25" s="238">
        <f t="shared" si="37"/>
        <v>0.90474067971271122</v>
      </c>
      <c r="AJ25" s="270"/>
      <c r="AK25" s="290">
        <f t="shared" si="45"/>
        <v>0.86654563698915699</v>
      </c>
      <c r="AL25" s="290">
        <f t="shared" si="45"/>
        <v>2.1082586114758395</v>
      </c>
      <c r="AM25" s="247">
        <f>AM26/AM27</f>
        <v>2.4802168480504911</v>
      </c>
      <c r="AN25" s="247">
        <f>AM25-AL25</f>
        <v>0.37195823657465166</v>
      </c>
      <c r="AO25" s="282"/>
      <c r="AP25" s="247">
        <f>AP26/AP27</f>
        <v>2.1082586114758395</v>
      </c>
      <c r="AQ25" s="247">
        <v>2.7706604985790459</v>
      </c>
      <c r="AR25" s="247">
        <f>AQ25-AP25</f>
        <v>0.66240188710320647</v>
      </c>
      <c r="AS25" s="282"/>
      <c r="AT25" s="247">
        <v>2.1082586114758395</v>
      </c>
      <c r="AU25" s="247" t="e">
        <f>AU26/AU27</f>
        <v>#DIV/0!</v>
      </c>
      <c r="AV25" s="247" t="e">
        <f>AU25-AT25</f>
        <v>#DIV/0!</v>
      </c>
      <c r="AW25" s="282"/>
      <c r="AX25" s="392">
        <f>AX26/AX27</f>
        <v>2.1082586114758395</v>
      </c>
      <c r="AY25" s="247">
        <f>AY26/AY27</f>
        <v>3.0350365265619503</v>
      </c>
      <c r="AZ25" s="247">
        <f>AY25-AX25</f>
        <v>0.92677791508611085</v>
      </c>
      <c r="BA25" s="392"/>
      <c r="BB25" s="290">
        <f t="shared" si="45"/>
        <v>2.1082586114758395</v>
      </c>
      <c r="BC25" s="290">
        <f t="shared" si="45"/>
        <v>0.1828759547184696</v>
      </c>
      <c r="BD25" s="247">
        <f>BD26/BD27</f>
        <v>0.47082479953939316</v>
      </c>
      <c r="BE25" s="247">
        <f>BD25-BC25</f>
        <v>0.28794884482092353</v>
      </c>
      <c r="BF25" s="282"/>
      <c r="BG25" s="247">
        <f>BG26/BG27</f>
        <v>0.1828759547184696</v>
      </c>
      <c r="BH25" s="247">
        <v>0.48364717070125779</v>
      </c>
      <c r="BI25" s="247">
        <f>BH25-BG25</f>
        <v>0.30077121598278822</v>
      </c>
      <c r="BJ25" s="282"/>
      <c r="BK25" s="247">
        <v>0.18287595471846962</v>
      </c>
      <c r="BL25" s="247" t="e">
        <f>BL26/BL27</f>
        <v>#DIV/0!</v>
      </c>
      <c r="BM25" s="247" t="e">
        <f>BL25-BK25</f>
        <v>#DIV/0!</v>
      </c>
      <c r="BN25" s="282"/>
      <c r="BO25" s="392">
        <f t="shared" si="45"/>
        <v>0.1828759547184696</v>
      </c>
      <c r="BP25" s="247">
        <f>BP26/BP27</f>
        <v>0.33778814051848843</v>
      </c>
      <c r="BQ25" s="247">
        <f>BP25-BO25</f>
        <v>0.15491218580001884</v>
      </c>
      <c r="BR25" s="282"/>
      <c r="BS25" s="290">
        <f t="shared" si="45"/>
        <v>0.1828759547184696</v>
      </c>
      <c r="BT25" s="290">
        <f t="shared" si="45"/>
        <v>0.62538212325542808</v>
      </c>
      <c r="BU25" s="247">
        <f>BU26/BU27</f>
        <v>1.4654761468043054</v>
      </c>
      <c r="BV25" s="247">
        <f>BU25-BT25</f>
        <v>0.8400940235488773</v>
      </c>
      <c r="BW25" s="290"/>
      <c r="BX25" s="290" t="e">
        <f>BX26/BX27</f>
        <v>#REF!</v>
      </c>
      <c r="BY25" s="247">
        <v>1.0188210721605335</v>
      </c>
      <c r="BZ25" s="238" t="e">
        <f t="shared" si="38"/>
        <v>#REF!</v>
      </c>
      <c r="CA25" s="270"/>
      <c r="CB25" s="290">
        <v>0.62538212325542808</v>
      </c>
      <c r="CC25" s="247" t="e">
        <f>CC26/CC27</f>
        <v>#DIV/0!</v>
      </c>
      <c r="CD25" s="238" t="e">
        <f t="shared" si="39"/>
        <v>#DIV/0!</v>
      </c>
      <c r="CE25" s="270"/>
      <c r="CF25" s="386">
        <f t="shared" ref="CF25" si="46">CF26/CF27</f>
        <v>0.62538212325542808</v>
      </c>
      <c r="CG25" s="247">
        <f>CG26/CG27</f>
        <v>1.0608575909253133</v>
      </c>
      <c r="CH25" s="238">
        <f>CG25-CF25</f>
        <v>0.43547546766988521</v>
      </c>
      <c r="CI25" s="387"/>
      <c r="CJ25" s="393">
        <f t="shared" si="45"/>
        <v>0.62538212325542808</v>
      </c>
      <c r="CK25" s="392">
        <f t="shared" si="45"/>
        <v>1.7540727064583554</v>
      </c>
      <c r="CL25" s="247">
        <f>CL26/CL27</f>
        <v>1.0599637282843222</v>
      </c>
      <c r="CM25" s="247">
        <f>CL25-CK25</f>
        <v>-0.69410897817403328</v>
      </c>
      <c r="CN25" s="290"/>
      <c r="CO25" s="290">
        <f>CO26/CO27</f>
        <v>1.7540727064583554</v>
      </c>
      <c r="CP25" s="247">
        <v>1.0980716398341228</v>
      </c>
      <c r="CQ25" s="238">
        <f t="shared" si="41"/>
        <v>-0.65600106662423263</v>
      </c>
      <c r="CR25" s="270"/>
      <c r="CS25" s="290">
        <v>1.7540727064583552</v>
      </c>
      <c r="CT25" s="247" t="e">
        <f>CT26/CT27</f>
        <v>#DIV/0!</v>
      </c>
      <c r="CU25" s="238" t="e">
        <f t="shared" si="42"/>
        <v>#DIV/0!</v>
      </c>
      <c r="CV25" s="270"/>
      <c r="CW25" s="392">
        <f t="shared" si="45"/>
        <v>1.7540727064583554</v>
      </c>
      <c r="CX25" s="247">
        <f>CX26/CX27</f>
        <v>1.1633866447944452</v>
      </c>
      <c r="CY25" s="238">
        <f>CX25-CW25</f>
        <v>-0.59068606166391024</v>
      </c>
      <c r="CZ25" s="270"/>
      <c r="DA25" s="473">
        <f t="shared" si="45"/>
        <v>1.7540727064583554</v>
      </c>
      <c r="DB25" s="14"/>
      <c r="DE25" s="307"/>
    </row>
    <row r="26" spans="1:111" ht="64.5" customHeight="1" x14ac:dyDescent="0.2">
      <c r="A26" s="408" t="s">
        <v>33</v>
      </c>
      <c r="B26" s="409" t="s">
        <v>68</v>
      </c>
      <c r="C26" s="482" t="s">
        <v>77</v>
      </c>
      <c r="D26" s="481">
        <f>(106748.67*10%)/1000</f>
        <v>10.674867000000001</v>
      </c>
      <c r="E26" s="203">
        <v>21.632000000000001</v>
      </c>
      <c r="F26" s="203">
        <f t="shared" si="30"/>
        <v>10.957133000000001</v>
      </c>
      <c r="G26" s="617"/>
      <c r="H26" s="255">
        <f>D26</f>
        <v>10.674867000000001</v>
      </c>
      <c r="I26" s="255">
        <v>35.575000000000003</v>
      </c>
      <c r="J26" s="255">
        <f t="shared" si="31"/>
        <v>24.900133000000004</v>
      </c>
      <c r="K26" s="615"/>
      <c r="L26" s="198">
        <v>10.188276996295889</v>
      </c>
      <c r="M26" s="203"/>
      <c r="N26" s="203">
        <f t="shared" si="32"/>
        <v>-10.188276996295889</v>
      </c>
      <c r="O26" s="617"/>
      <c r="P26" s="202">
        <v>9.7394454955162928</v>
      </c>
      <c r="Q26" s="202">
        <v>10.596</v>
      </c>
      <c r="R26" s="202">
        <f t="shared" si="43"/>
        <v>0.85655450448370729</v>
      </c>
      <c r="S26" s="386"/>
      <c r="T26" s="286">
        <f>D26</f>
        <v>10.674867000000001</v>
      </c>
      <c r="U26" s="286">
        <f>34334/1000</f>
        <v>34.334000000000003</v>
      </c>
      <c r="V26" s="255">
        <f>85.694-21.461</f>
        <v>64.233000000000004</v>
      </c>
      <c r="W26" s="255">
        <f t="shared" si="34"/>
        <v>29.899000000000001</v>
      </c>
      <c r="X26" s="260" t="s">
        <v>203</v>
      </c>
      <c r="Y26" s="238">
        <f>U26</f>
        <v>34.334000000000003</v>
      </c>
      <c r="Z26" s="255">
        <v>62.518999999999998</v>
      </c>
      <c r="AA26" s="255">
        <f t="shared" si="35"/>
        <v>28.184999999999995</v>
      </c>
      <c r="AB26" s="260" t="s">
        <v>238</v>
      </c>
      <c r="AC26" s="238">
        <v>32.473101910022152</v>
      </c>
      <c r="AD26" s="255"/>
      <c r="AE26" s="255">
        <f t="shared" si="36"/>
        <v>-32.473101910022152</v>
      </c>
      <c r="AF26" s="260"/>
      <c r="AG26" s="386">
        <v>29.093378952996126</v>
      </c>
      <c r="AH26" s="255">
        <f>ROUND(((5.5*0.6*24*365/1000)+11.451+12.54),3)</f>
        <v>52.899000000000001</v>
      </c>
      <c r="AI26" s="255">
        <f t="shared" si="37"/>
        <v>23.805621047003875</v>
      </c>
      <c r="AJ26" s="260" t="s">
        <v>280</v>
      </c>
      <c r="AK26" s="286">
        <f>U26</f>
        <v>34.334000000000003</v>
      </c>
      <c r="AL26" s="286">
        <v>41.499666666666663</v>
      </c>
      <c r="AM26" s="255">
        <f>58.441-13.204</f>
        <v>45.237000000000002</v>
      </c>
      <c r="AN26" s="255">
        <f>AM26-AL26</f>
        <v>3.7373333333333392</v>
      </c>
      <c r="AO26" s="268" t="s">
        <v>204</v>
      </c>
      <c r="AP26" s="238">
        <f>AL26</f>
        <v>41.499666666666663</v>
      </c>
      <c r="AQ26" s="256">
        <v>45.965000000000003</v>
      </c>
      <c r="AR26" s="255">
        <f>AQ26-AP26</f>
        <v>4.4653333333333407</v>
      </c>
      <c r="AS26" s="260"/>
      <c r="AT26" s="238">
        <v>39.95480432871134</v>
      </c>
      <c r="AU26" s="255"/>
      <c r="AV26" s="255">
        <f>AU26-AT26</f>
        <v>-39.95480432871134</v>
      </c>
      <c r="AW26" s="268"/>
      <c r="AX26" s="386">
        <v>37.997874412108629</v>
      </c>
      <c r="AY26" s="255">
        <f>64.836-(23.926/3*2)</f>
        <v>48.885333333333335</v>
      </c>
      <c r="AZ26" s="255">
        <f>AY26-AX26</f>
        <v>10.887458921224706</v>
      </c>
      <c r="BA26" s="386"/>
      <c r="BB26" s="286">
        <f>AL26</f>
        <v>41.499666666666663</v>
      </c>
      <c r="BC26" s="286">
        <v>5.9269999999999996</v>
      </c>
      <c r="BD26" s="255">
        <f>20.791-7.29</f>
        <v>13.501000000000001</v>
      </c>
      <c r="BE26" s="255">
        <f>BD26-BC26</f>
        <v>7.5740000000000016</v>
      </c>
      <c r="BF26" s="268" t="s">
        <v>205</v>
      </c>
      <c r="BG26" s="238">
        <f>BC26</f>
        <v>5.9269999999999996</v>
      </c>
      <c r="BH26" s="256">
        <v>12.998999999999999</v>
      </c>
      <c r="BI26" s="255">
        <f>BH26-BG26</f>
        <v>7.0719999999999992</v>
      </c>
      <c r="BJ26" s="260" t="s">
        <v>241</v>
      </c>
      <c r="BK26" s="238">
        <v>5.5979845780988162</v>
      </c>
      <c r="BL26" s="255"/>
      <c r="BM26" s="255">
        <f>BL26-BK26</f>
        <v>-5.5979845780988162</v>
      </c>
      <c r="BN26" s="268"/>
      <c r="BO26" s="386">
        <v>5.3698279883641886</v>
      </c>
      <c r="BP26" s="255">
        <f>13.863-10.28/(11+7.5+5.5)*11</f>
        <v>9.1513333333333335</v>
      </c>
      <c r="BQ26" s="255">
        <f>BP26-BO26</f>
        <v>3.7815053449691449</v>
      </c>
      <c r="BR26" s="268" t="s">
        <v>281</v>
      </c>
      <c r="BS26" s="286">
        <f>BC26</f>
        <v>5.9269999999999996</v>
      </c>
      <c r="BT26" s="286">
        <v>16.683070000000001</v>
      </c>
      <c r="BU26" s="255">
        <f>39.474-10.152</f>
        <v>29.321999999999996</v>
      </c>
      <c r="BV26" s="255">
        <f>BU26-BT26</f>
        <v>12.638929999999995</v>
      </c>
      <c r="BW26" s="293" t="s">
        <v>206</v>
      </c>
      <c r="BX26" s="286">
        <v>15.361399302972318</v>
      </c>
      <c r="BY26" s="256">
        <v>20.288000000000004</v>
      </c>
      <c r="BZ26" s="255">
        <f t="shared" si="38"/>
        <v>4.9266006970276859</v>
      </c>
      <c r="CA26" s="291" t="s">
        <v>206</v>
      </c>
      <c r="CB26" s="286">
        <v>14.208236568291568</v>
      </c>
      <c r="CC26" s="255"/>
      <c r="CD26" s="255">
        <f t="shared" si="39"/>
        <v>-14.208236568291568</v>
      </c>
      <c r="CE26" s="260"/>
      <c r="CF26" s="394">
        <v>13.183376604635777</v>
      </c>
      <c r="CG26" s="255">
        <f>38.199-18.89</f>
        <v>19.308999999999997</v>
      </c>
      <c r="CH26" s="255">
        <f>CG26-CF26</f>
        <v>6.1256233953642205</v>
      </c>
      <c r="CI26" s="395"/>
      <c r="CJ26" s="387">
        <f>CB26</f>
        <v>14.208236568291568</v>
      </c>
      <c r="CK26" s="386">
        <v>48.194499999999998</v>
      </c>
      <c r="CL26" s="255">
        <f>36.014-8.458</f>
        <v>27.556000000000004</v>
      </c>
      <c r="CM26" s="255">
        <f>CL26-CK26</f>
        <v>-20.638499999999993</v>
      </c>
      <c r="CN26" s="293" t="s">
        <v>206</v>
      </c>
      <c r="CO26" s="286">
        <f>CK26</f>
        <v>48.194499999999998</v>
      </c>
      <c r="CP26" s="255">
        <v>27.097999999999999</v>
      </c>
      <c r="CQ26" s="255">
        <f t="shared" si="41"/>
        <v>-21.096499999999999</v>
      </c>
      <c r="CR26" s="293" t="s">
        <v>206</v>
      </c>
      <c r="CS26" s="286">
        <v>47.305958683889152</v>
      </c>
      <c r="CT26" s="255"/>
      <c r="CU26" s="255">
        <f t="shared" si="42"/>
        <v>-47.305958683889152</v>
      </c>
      <c r="CV26" s="260"/>
      <c r="CW26" s="386">
        <v>45.662448688264284</v>
      </c>
      <c r="CX26" s="255">
        <f>38.065-9.148</f>
        <v>28.916999999999998</v>
      </c>
      <c r="CY26" s="255">
        <f>CX26-CW26</f>
        <v>-16.745448688264286</v>
      </c>
      <c r="CZ26" s="260" t="s">
        <v>282</v>
      </c>
      <c r="DA26" s="476">
        <f>CK26</f>
        <v>48.194499999999998</v>
      </c>
      <c r="DB26" s="14"/>
      <c r="DD26" s="178"/>
      <c r="DE26" s="178"/>
    </row>
    <row r="27" spans="1:111" ht="31.5" x14ac:dyDescent="0.2">
      <c r="A27" s="487" t="s">
        <v>34</v>
      </c>
      <c r="B27" s="459" t="s">
        <v>69</v>
      </c>
      <c r="C27" s="488" t="s">
        <v>71</v>
      </c>
      <c r="D27" s="489">
        <f>D20</f>
        <v>1135.886986</v>
      </c>
      <c r="E27" s="200">
        <f>E20</f>
        <v>1023.397704</v>
      </c>
      <c r="F27" s="200">
        <f t="shared" si="30"/>
        <v>-112.489282</v>
      </c>
      <c r="G27" s="490"/>
      <c r="H27" s="257">
        <f>H20</f>
        <v>1135.886986</v>
      </c>
      <c r="I27" s="257">
        <v>1008.387217</v>
      </c>
      <c r="J27" s="257">
        <f t="shared" si="31"/>
        <v>-127.49976900000001</v>
      </c>
      <c r="K27" s="258"/>
      <c r="L27" s="200">
        <v>1084.1101450000001</v>
      </c>
      <c r="M27" s="200">
        <f>M20</f>
        <v>0</v>
      </c>
      <c r="N27" s="200">
        <f t="shared" si="32"/>
        <v>-1084.1101450000001</v>
      </c>
      <c r="O27" s="490"/>
      <c r="P27" s="205">
        <v>1036.351028</v>
      </c>
      <c r="Q27" s="205">
        <f>Q24</f>
        <v>1027.1980000000001</v>
      </c>
      <c r="R27" s="205">
        <f t="shared" si="43"/>
        <v>-9.1530279999999493</v>
      </c>
      <c r="S27" s="491"/>
      <c r="T27" s="292">
        <f>T20</f>
        <v>1135.886986</v>
      </c>
      <c r="U27" s="292">
        <f t="shared" ref="U27:BB27" si="47">U20</f>
        <v>39.621687000000001</v>
      </c>
      <c r="V27" s="257">
        <v>36.426912999999999</v>
      </c>
      <c r="W27" s="257">
        <f t="shared" si="34"/>
        <v>-3.1947740000000024</v>
      </c>
      <c r="X27" s="271"/>
      <c r="Y27" s="257">
        <f>Y20</f>
        <v>39.621687000000001</v>
      </c>
      <c r="Z27" s="257">
        <v>28.811463</v>
      </c>
      <c r="AA27" s="257">
        <f t="shared" si="35"/>
        <v>-10.810224000000002</v>
      </c>
      <c r="AB27" s="271"/>
      <c r="AC27" s="257">
        <v>37.474196999999997</v>
      </c>
      <c r="AD27" s="257"/>
      <c r="AE27" s="257">
        <f t="shared" si="36"/>
        <v>-37.474196999999997</v>
      </c>
      <c r="AF27" s="271"/>
      <c r="AG27" s="491">
        <v>33.573972000000005</v>
      </c>
      <c r="AH27" s="257">
        <v>29.864737000000002</v>
      </c>
      <c r="AI27" s="257">
        <f t="shared" si="37"/>
        <v>-3.7092350000000032</v>
      </c>
      <c r="AJ27" s="271"/>
      <c r="AK27" s="292">
        <f t="shared" si="47"/>
        <v>39.621687000000001</v>
      </c>
      <c r="AL27" s="292">
        <f t="shared" si="47"/>
        <v>19.684334000000003</v>
      </c>
      <c r="AM27" s="257">
        <f>AM20</f>
        <v>18.239131</v>
      </c>
      <c r="AN27" s="257">
        <f>AM27-AL27</f>
        <v>-1.4452030000000029</v>
      </c>
      <c r="AO27" s="271"/>
      <c r="AP27" s="257">
        <f>AP20</f>
        <v>19.684334000000003</v>
      </c>
      <c r="AQ27" s="257">
        <v>16.589907</v>
      </c>
      <c r="AR27" s="257">
        <f>AQ27-AP27</f>
        <v>-3.0944270000000031</v>
      </c>
      <c r="AS27" s="271"/>
      <c r="AT27" s="257">
        <v>18.951567000000001</v>
      </c>
      <c r="AU27" s="257">
        <f>AU20</f>
        <v>0</v>
      </c>
      <c r="AV27" s="257">
        <f>AU27-AT27</f>
        <v>-18.951567000000001</v>
      </c>
      <c r="AW27" s="271"/>
      <c r="AX27" s="491">
        <v>18.023346</v>
      </c>
      <c r="AY27" s="257">
        <f>AY20</f>
        <v>16.106999999999999</v>
      </c>
      <c r="AZ27" s="257">
        <f>AY27-AX27</f>
        <v>-1.9163460000000008</v>
      </c>
      <c r="BA27" s="491"/>
      <c r="BB27" s="292">
        <f t="shared" si="47"/>
        <v>19.684334000000003</v>
      </c>
      <c r="BC27" s="292">
        <f>BC20</f>
        <v>32.409947000000003</v>
      </c>
      <c r="BD27" s="257">
        <f>BD20</f>
        <v>28.67521</v>
      </c>
      <c r="BE27" s="257">
        <f>BD27-BC27</f>
        <v>-3.7347370000000026</v>
      </c>
      <c r="BF27" s="271"/>
      <c r="BG27" s="257">
        <f>BG20</f>
        <v>32.409947000000003</v>
      </c>
      <c r="BH27" s="257">
        <v>26.877031000000002</v>
      </c>
      <c r="BI27" s="257">
        <f>BH27-BG27</f>
        <v>-5.5329160000000002</v>
      </c>
      <c r="BJ27" s="271"/>
      <c r="BK27" s="257">
        <v>30.610828999999995</v>
      </c>
      <c r="BL27" s="257">
        <f>BL20</f>
        <v>0</v>
      </c>
      <c r="BM27" s="257">
        <f>BL27-BK27</f>
        <v>-30.610828999999995</v>
      </c>
      <c r="BN27" s="271"/>
      <c r="BO27" s="491">
        <v>29.363225999999997</v>
      </c>
      <c r="BP27" s="257">
        <f>BP20</f>
        <v>27.091932</v>
      </c>
      <c r="BQ27" s="257">
        <f>BP27-BO27</f>
        <v>-2.2712939999999975</v>
      </c>
      <c r="BR27" s="271"/>
      <c r="BS27" s="292">
        <f t="shared" ref="BS27:DA27" si="48">BS20</f>
        <v>32.409947000000003</v>
      </c>
      <c r="BT27" s="292">
        <f t="shared" si="48"/>
        <v>26.676602000000003</v>
      </c>
      <c r="BU27" s="257">
        <f>BU20</f>
        <v>20.008513999999998</v>
      </c>
      <c r="BV27" s="257">
        <f>BU27-BT27</f>
        <v>-6.6680880000000045</v>
      </c>
      <c r="BW27" s="292"/>
      <c r="BX27" s="292" t="e">
        <f>BX20</f>
        <v>#REF!</v>
      </c>
      <c r="BY27" s="257">
        <v>19.913212000000001</v>
      </c>
      <c r="BZ27" s="257" t="e">
        <f t="shared" si="38"/>
        <v>#REF!</v>
      </c>
      <c r="CA27" s="271"/>
      <c r="CB27" s="292">
        <v>22.719287999999999</v>
      </c>
      <c r="CC27" s="257"/>
      <c r="CD27" s="257">
        <f t="shared" si="39"/>
        <v>-22.719287999999999</v>
      </c>
      <c r="CE27" s="271"/>
      <c r="CF27" s="491">
        <v>21.080514000000001</v>
      </c>
      <c r="CG27" s="257">
        <f>CG20</f>
        <v>18.201312000000001</v>
      </c>
      <c r="CH27" s="257">
        <f>CG27-CF27</f>
        <v>-2.8792019999999994</v>
      </c>
      <c r="CI27" s="492"/>
      <c r="CJ27" s="492">
        <f t="shared" si="48"/>
        <v>22.719287999999999</v>
      </c>
      <c r="CK27" s="491">
        <f t="shared" si="48"/>
        <v>27.475771000000002</v>
      </c>
      <c r="CL27" s="257">
        <f>CL20</f>
        <v>25.997115999999998</v>
      </c>
      <c r="CM27" s="257">
        <f>CL27-CK27</f>
        <v>-1.4786550000000034</v>
      </c>
      <c r="CN27" s="292"/>
      <c r="CO27" s="292">
        <f>CO20</f>
        <v>27.475771000000002</v>
      </c>
      <c r="CP27" s="257">
        <v>24.677807000000001</v>
      </c>
      <c r="CQ27" s="257">
        <f t="shared" si="41"/>
        <v>-2.7979640000000003</v>
      </c>
      <c r="CR27" s="271"/>
      <c r="CS27" s="292">
        <v>26.969211999999999</v>
      </c>
      <c r="CT27" s="257"/>
      <c r="CU27" s="257">
        <f t="shared" si="42"/>
        <v>-26.969211999999999</v>
      </c>
      <c r="CV27" s="271"/>
      <c r="CW27" s="491">
        <v>26.032243999999999</v>
      </c>
      <c r="CX27" s="257">
        <v>24.855881</v>
      </c>
      <c r="CY27" s="257">
        <f>CX27-CW27</f>
        <v>-1.1763629999999985</v>
      </c>
      <c r="CZ27" s="271"/>
      <c r="DA27" s="493">
        <f t="shared" si="48"/>
        <v>27.475771000000002</v>
      </c>
      <c r="DB27" s="14"/>
      <c r="DE27" s="312"/>
      <c r="DG27" s="313"/>
    </row>
  </sheetData>
  <mergeCells count="94">
    <mergeCell ref="S8:S9"/>
    <mergeCell ref="AJ8:AJ9"/>
    <mergeCell ref="S11:S12"/>
    <mergeCell ref="AJ11:AJ12"/>
    <mergeCell ref="CI11:CI12"/>
    <mergeCell ref="AP4:AQ4"/>
    <mergeCell ref="AR4:AR5"/>
    <mergeCell ref="AS4:AS5"/>
    <mergeCell ref="AC4:AD4"/>
    <mergeCell ref="AN4:AN5"/>
    <mergeCell ref="AL4:AM4"/>
    <mergeCell ref="AJ4:AJ5"/>
    <mergeCell ref="H4:I4"/>
    <mergeCell ref="J4:J5"/>
    <mergeCell ref="K4:K5"/>
    <mergeCell ref="K25:K26"/>
    <mergeCell ref="Y4:Z4"/>
    <mergeCell ref="N4:N5"/>
    <mergeCell ref="O4:O5"/>
    <mergeCell ref="O25:O26"/>
    <mergeCell ref="L4:M4"/>
    <mergeCell ref="U4:V4"/>
    <mergeCell ref="B7:DA7"/>
    <mergeCell ref="BW4:BW5"/>
    <mergeCell ref="G25:G26"/>
    <mergeCell ref="BV4:BV5"/>
    <mergeCell ref="B18:DA18"/>
    <mergeCell ref="C2:C5"/>
    <mergeCell ref="G4:G5"/>
    <mergeCell ref="AO4:AO5"/>
    <mergeCell ref="X4:X5"/>
    <mergeCell ref="BT3:CJ3"/>
    <mergeCell ref="A1:DA1"/>
    <mergeCell ref="D2:DA2"/>
    <mergeCell ref="D3:T3"/>
    <mergeCell ref="U3:AK3"/>
    <mergeCell ref="AL3:BB3"/>
    <mergeCell ref="BC3:BS3"/>
    <mergeCell ref="B2:B5"/>
    <mergeCell ref="F4:F5"/>
    <mergeCell ref="CK4:CL4"/>
    <mergeCell ref="W4:W5"/>
    <mergeCell ref="CK3:DA3"/>
    <mergeCell ref="A2:A5"/>
    <mergeCell ref="B14:DA14"/>
    <mergeCell ref="D4:E4"/>
    <mergeCell ref="BF4:BF5"/>
    <mergeCell ref="CM4:CM5"/>
    <mergeCell ref="BC4:BD4"/>
    <mergeCell ref="CU4:CU5"/>
    <mergeCell ref="CV4:CV5"/>
    <mergeCell ref="CS4:CT4"/>
    <mergeCell ref="CD4:CD5"/>
    <mergeCell ref="CE4:CE5"/>
    <mergeCell ref="CN4:CN5"/>
    <mergeCell ref="CQ4:CQ5"/>
    <mergeCell ref="CR4:CR5"/>
    <mergeCell ref="CB4:CC4"/>
    <mergeCell ref="AE4:AE5"/>
    <mergeCell ref="AF4:AF5"/>
    <mergeCell ref="AV4:AV5"/>
    <mergeCell ref="AW4:AW5"/>
    <mergeCell ref="AT4:AU4"/>
    <mergeCell ref="BM4:BM5"/>
    <mergeCell ref="BN4:BN5"/>
    <mergeCell ref="BK4:BL4"/>
    <mergeCell ref="BE4:BE5"/>
    <mergeCell ref="BG4:BH4"/>
    <mergeCell ref="BI4:BI5"/>
    <mergeCell ref="BJ4:BJ5"/>
    <mergeCell ref="AX4:AY4"/>
    <mergeCell ref="AZ4:AZ5"/>
    <mergeCell ref="BA4:BA5"/>
    <mergeCell ref="P4:Q4"/>
    <mergeCell ref="R4:R5"/>
    <mergeCell ref="S4:S5"/>
    <mergeCell ref="AG4:AH4"/>
    <mergeCell ref="AI4:AI5"/>
    <mergeCell ref="AA4:AA5"/>
    <mergeCell ref="AB4:AB5"/>
    <mergeCell ref="CZ4:CZ5"/>
    <mergeCell ref="BO4:BP4"/>
    <mergeCell ref="BQ4:BQ5"/>
    <mergeCell ref="BR4:BR5"/>
    <mergeCell ref="CW4:CX4"/>
    <mergeCell ref="CY4:CY5"/>
    <mergeCell ref="BX4:BY4"/>
    <mergeCell ref="BZ4:BZ5"/>
    <mergeCell ref="CA4:CA5"/>
    <mergeCell ref="CO4:CP4"/>
    <mergeCell ref="BT4:BU4"/>
    <mergeCell ref="CF4:CG4"/>
    <mergeCell ref="CH4:CH5"/>
    <mergeCell ref="CI4:CI5"/>
  </mergeCells>
  <phoneticPr fontId="3" type="noConversion"/>
  <printOptions horizontalCentered="1"/>
  <pageMargins left="0.39370078740157483" right="0.39370078740157483" top="0.78740157480314965" bottom="0.19685039370078741" header="0" footer="0"/>
  <pageSetup paperSize="9" scale="41" fitToWidth="4" orientation="landscape" r:id="rId1"/>
  <headerFooter alignWithMargins="0"/>
  <colBreaks count="2" manualBreakCount="2">
    <brk id="28" max="26" man="1"/>
    <brk id="71" max="2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раздел 1</vt:lpstr>
      <vt:lpstr>раздел 2</vt:lpstr>
      <vt:lpstr>раздел 3</vt:lpstr>
      <vt:lpstr>раздел 4</vt:lpstr>
      <vt:lpstr>раздел 5</vt:lpstr>
      <vt:lpstr>'раздел 2'!Заголовки_для_печати</vt:lpstr>
      <vt:lpstr>'раздел 3'!Заголовки_для_печати</vt:lpstr>
      <vt:lpstr>'раздел 5'!Заголовки_для_печати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Сударинена Ольга Сергеевна</cp:lastModifiedBy>
  <cp:lastPrinted>2023-04-26T03:41:57Z</cp:lastPrinted>
  <dcterms:created xsi:type="dcterms:W3CDTF">1996-10-08T23:32:33Z</dcterms:created>
  <dcterms:modified xsi:type="dcterms:W3CDTF">2023-05-22T03:41:58Z</dcterms:modified>
</cp:coreProperties>
</file>